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rnorris\Desktop\"/>
    </mc:Choice>
  </mc:AlternateContent>
  <xr:revisionPtr revIDLastSave="0" documentId="13_ncr:1_{1CAE1CB7-FA4D-43EF-BE86-9995998DB75A}" xr6:coauthVersionLast="45" xr6:coauthVersionMax="45" xr10:uidLastSave="{00000000-0000-0000-0000-000000000000}"/>
  <bookViews>
    <workbookView xWindow="20370" yWindow="-45" windowWidth="29040" windowHeight="15840" tabRatio="813" xr2:uid="{00000000-000D-0000-FFFF-FFFF00000000}"/>
  </bookViews>
  <sheets>
    <sheet name="Introduction" sheetId="1" r:id="rId1"/>
    <sheet name="Background" sheetId="7" r:id="rId2"/>
    <sheet name="Data and assumptions" sheetId="22" r:id="rId3"/>
    <sheet name="Cover" sheetId="25" r:id="rId4"/>
    <sheet name="Contents" sheetId="32" r:id="rId5"/>
    <sheet name="Income Statement" sheetId="23" r:id="rId6"/>
    <sheet name="Financial Position" sheetId="24" r:id="rId7"/>
    <sheet name="Cashflow" sheetId="27" r:id="rId8"/>
    <sheet name="Discount Rate" sheetId="28" r:id="rId9"/>
    <sheet name="Fair Value" sheetId="29" r:id="rId10"/>
    <sheet name="Value in Use" sheetId="43" r:id="rId11"/>
    <sheet name="Impairment Conclusion" sheetId="44" r:id="rId12"/>
  </sheets>
  <definedNames>
    <definedName name="CIQWBGuid" hidden="1">"4cae3e5a-080b-4281-b482-a591c01936bc"</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"03/21/2019 05:05:19"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ast_YE">Background!$B$10</definedName>
    <definedName name="Preparer">#REF!</definedName>
    <definedName name="_xlnm.Print_Area" localSheetId="9">'Fair Value'!$A$1:$K$54</definedName>
    <definedName name="_xlnm.Print_Area" localSheetId="11">'Impairment Conclusion'!$A$1:$H$53</definedName>
    <definedName name="_xlnm.Print_Area" localSheetId="10">'Value in Use'!$A$1:$H$87</definedName>
    <definedName name="_xlnm.Print_Titles" localSheetId="10">'Value in Use'!$1:$8</definedName>
    <definedName name="Scope">Background!$B$6</definedName>
    <definedName name="Segment_1">Background!$B$13</definedName>
    <definedName name="Segment_2">Background!$B$14</definedName>
    <definedName name="Segment_3">Background!$B$15</definedName>
    <definedName name="Segment_4">Background!$B$16</definedName>
    <definedName name="Segment_5">Background!$B$17</definedName>
    <definedName name="Subject">Background!$B$5</definedName>
    <definedName name="TV_Growth">'Data and assumptions'!$B$155</definedName>
    <definedName name="Units">Background!$B$11</definedName>
    <definedName name="Val_Dat">#REF!</definedName>
    <definedName name="Val_Date">Background!$B$7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44" l="1"/>
  <c r="E6" i="23"/>
  <c r="E7" i="23"/>
  <c r="E8" i="23"/>
  <c r="E9" i="23"/>
  <c r="E10" i="23"/>
  <c r="E11" i="23"/>
  <c r="E14" i="23"/>
  <c r="E15" i="23"/>
  <c r="E16" i="23"/>
  <c r="E17" i="23"/>
  <c r="E18" i="23"/>
  <c r="E19" i="23"/>
  <c r="E21" i="23"/>
  <c r="E24" i="23"/>
  <c r="E25" i="23"/>
  <c r="E26" i="23"/>
  <c r="E27" i="23"/>
  <c r="E28" i="23"/>
  <c r="E29" i="23"/>
  <c r="E30" i="23"/>
  <c r="E31" i="23"/>
  <c r="E32" i="23"/>
  <c r="E33" i="23"/>
  <c r="E34" i="23"/>
  <c r="F46" i="29"/>
  <c r="G46" i="29"/>
  <c r="F7" i="22"/>
  <c r="F6" i="23"/>
  <c r="F8" i="22"/>
  <c r="F7" i="23"/>
  <c r="F9" i="22"/>
  <c r="F8" i="23"/>
  <c r="F10" i="22"/>
  <c r="F9" i="23"/>
  <c r="F11" i="22"/>
  <c r="F10" i="23"/>
  <c r="F11" i="23"/>
  <c r="F23" i="22"/>
  <c r="F14" i="23"/>
  <c r="F24" i="22"/>
  <c r="F15" i="23"/>
  <c r="F25" i="22"/>
  <c r="F16" i="23"/>
  <c r="F26" i="22"/>
  <c r="F17" i="23"/>
  <c r="F27" i="22"/>
  <c r="F18" i="23"/>
  <c r="F19" i="23"/>
  <c r="F21" i="23"/>
  <c r="F12" i="22"/>
  <c r="F42" i="22"/>
  <c r="F24" i="23"/>
  <c r="F43" i="22"/>
  <c r="F25" i="23"/>
  <c r="F44" i="22"/>
  <c r="F26" i="23"/>
  <c r="F45" i="22"/>
  <c r="F27" i="23"/>
  <c r="F46" i="22"/>
  <c r="F28" i="23"/>
  <c r="F47" i="22"/>
  <c r="F29" i="23"/>
  <c r="F48" i="22"/>
  <c r="F30" i="23"/>
  <c r="F49" i="22"/>
  <c r="F31" i="23"/>
  <c r="F50" i="22"/>
  <c r="F32" i="23"/>
  <c r="F51" i="22"/>
  <c r="F33" i="23"/>
  <c r="F34" i="23"/>
  <c r="H46" i="29"/>
  <c r="I46" i="29"/>
  <c r="G7" i="22"/>
  <c r="G6" i="23"/>
  <c r="G8" i="22"/>
  <c r="G7" i="23"/>
  <c r="G9" i="22"/>
  <c r="G8" i="23"/>
  <c r="G10" i="22"/>
  <c r="G9" i="23"/>
  <c r="G11" i="22"/>
  <c r="G10" i="23"/>
  <c r="G11" i="23"/>
  <c r="G23" i="22"/>
  <c r="G14" i="23"/>
  <c r="G24" i="22"/>
  <c r="G15" i="23"/>
  <c r="G25" i="22"/>
  <c r="G16" i="23"/>
  <c r="G26" i="22"/>
  <c r="G17" i="23"/>
  <c r="G27" i="22"/>
  <c r="G18" i="23"/>
  <c r="G19" i="23"/>
  <c r="G21" i="23"/>
  <c r="G12" i="22"/>
  <c r="G42" i="22"/>
  <c r="G24" i="23"/>
  <c r="G43" i="22"/>
  <c r="G25" i="23"/>
  <c r="G44" i="22"/>
  <c r="G26" i="23"/>
  <c r="G45" i="22"/>
  <c r="G27" i="23"/>
  <c r="G46" i="22"/>
  <c r="G28" i="23"/>
  <c r="G47" i="22"/>
  <c r="G29" i="23"/>
  <c r="G48" i="22"/>
  <c r="G30" i="23"/>
  <c r="G49" i="22"/>
  <c r="G31" i="23"/>
  <c r="G50" i="22"/>
  <c r="G32" i="23"/>
  <c r="G51" i="22"/>
  <c r="G33" i="23"/>
  <c r="G34" i="23"/>
  <c r="J46" i="29"/>
  <c r="K46" i="29"/>
  <c r="E37" i="23"/>
  <c r="F47" i="29"/>
  <c r="G47" i="29"/>
  <c r="F72" i="22"/>
  <c r="F74" i="22"/>
  <c r="F37" i="23"/>
  <c r="H47" i="29"/>
  <c r="I47" i="29"/>
  <c r="F75" i="22"/>
  <c r="G72" i="22"/>
  <c r="G74" i="22"/>
  <c r="G37" i="23"/>
  <c r="J47" i="29"/>
  <c r="K47" i="29"/>
  <c r="E38" i="23"/>
  <c r="E39" i="23"/>
  <c r="F48" i="29"/>
  <c r="G48" i="29"/>
  <c r="F38" i="23"/>
  <c r="F39" i="23"/>
  <c r="H48" i="29"/>
  <c r="I48" i="29"/>
  <c r="G38" i="23"/>
  <c r="G39" i="23"/>
  <c r="J48" i="29"/>
  <c r="K48" i="29"/>
  <c r="E42" i="23"/>
  <c r="E43" i="23"/>
  <c r="E44" i="23"/>
  <c r="E45" i="23"/>
  <c r="E46" i="23"/>
  <c r="F49" i="29"/>
  <c r="G49" i="29"/>
  <c r="F100" i="22"/>
  <c r="F42" i="23"/>
  <c r="E105" i="22"/>
  <c r="F107" i="22"/>
  <c r="F43" i="23"/>
  <c r="F44" i="23"/>
  <c r="F112" i="22"/>
  <c r="F45" i="23"/>
  <c r="F46" i="23"/>
  <c r="H49" i="29"/>
  <c r="I49" i="29"/>
  <c r="G100" i="22"/>
  <c r="G42" i="23"/>
  <c r="F6" i="24"/>
  <c r="F88" i="22"/>
  <c r="F7" i="24"/>
  <c r="F28" i="22"/>
  <c r="F89" i="22"/>
  <c r="F8" i="24"/>
  <c r="E12" i="22"/>
  <c r="F124" i="22"/>
  <c r="F9" i="24"/>
  <c r="F10" i="24"/>
  <c r="F12" i="24"/>
  <c r="F81" i="22"/>
  <c r="F84" i="22"/>
  <c r="F13" i="24"/>
  <c r="F125" i="22"/>
  <c r="F14" i="24"/>
  <c r="F15" i="24"/>
  <c r="F52" i="22"/>
  <c r="F90" i="22"/>
  <c r="F17" i="24"/>
  <c r="F18" i="24"/>
  <c r="F126" i="22"/>
  <c r="F19" i="24"/>
  <c r="F127" i="22"/>
  <c r="F20" i="24"/>
  <c r="F128" i="22"/>
  <c r="F21" i="24"/>
  <c r="F22" i="24"/>
  <c r="D6" i="24"/>
  <c r="D7" i="24"/>
  <c r="D8" i="24"/>
  <c r="D9" i="24"/>
  <c r="D10" i="24"/>
  <c r="D12" i="24"/>
  <c r="D13" i="24"/>
  <c r="D14" i="24"/>
  <c r="D15" i="24"/>
  <c r="D17" i="24"/>
  <c r="D18" i="24"/>
  <c r="D19" i="24"/>
  <c r="D20" i="24"/>
  <c r="D21" i="24"/>
  <c r="D22" i="24"/>
  <c r="D24" i="24"/>
  <c r="D25" i="24"/>
  <c r="D26" i="24"/>
  <c r="D27" i="24"/>
  <c r="D28" i="24"/>
  <c r="D30" i="24"/>
  <c r="D36" i="24"/>
  <c r="E32" i="24"/>
  <c r="E33" i="24"/>
  <c r="E34" i="24"/>
  <c r="E35" i="24"/>
  <c r="E36" i="24"/>
  <c r="F32" i="24"/>
  <c r="F33" i="24"/>
  <c r="F34" i="24"/>
  <c r="F117" i="22"/>
  <c r="F35" i="24"/>
  <c r="F36" i="24"/>
  <c r="F30" i="24"/>
  <c r="F28" i="24"/>
  <c r="F129" i="22"/>
  <c r="F25" i="24"/>
  <c r="F130" i="22"/>
  <c r="F26" i="24"/>
  <c r="F131" i="22"/>
  <c r="F27" i="24"/>
  <c r="F24" i="24"/>
  <c r="F105" i="22"/>
  <c r="G107" i="22"/>
  <c r="G43" i="23"/>
  <c r="G44" i="23"/>
  <c r="G112" i="22"/>
  <c r="G45" i="23"/>
  <c r="G46" i="23"/>
  <c r="J49" i="29"/>
  <c r="K49" i="29"/>
  <c r="B4" i="43"/>
  <c r="E4" i="27"/>
  <c r="F4" i="27"/>
  <c r="C7" i="43"/>
  <c r="C83" i="43"/>
  <c r="C85" i="43"/>
  <c r="C86" i="43"/>
  <c r="B19" i="28"/>
  <c r="A65" i="43"/>
  <c r="C65" i="43"/>
  <c r="B11" i="43"/>
  <c r="B26" i="43"/>
  <c r="C11" i="43"/>
  <c r="C12" i="43"/>
  <c r="C26" i="43"/>
  <c r="C37" i="43"/>
  <c r="C14" i="43"/>
  <c r="C15" i="43"/>
  <c r="C30" i="43"/>
  <c r="C31" i="43"/>
  <c r="C41" i="43"/>
  <c r="C48" i="43"/>
  <c r="C52" i="43"/>
  <c r="C53" i="43"/>
  <c r="C54" i="43"/>
  <c r="C17" i="43"/>
  <c r="C55" i="43"/>
  <c r="F11" i="27"/>
  <c r="F12" i="27"/>
  <c r="C18" i="43"/>
  <c r="C56" i="43"/>
  <c r="E7" i="24"/>
  <c r="E8" i="24"/>
  <c r="E17" i="24"/>
  <c r="F7" i="27"/>
  <c r="C57" i="43"/>
  <c r="E9" i="24"/>
  <c r="E14" i="24"/>
  <c r="E20" i="24"/>
  <c r="E21" i="24"/>
  <c r="E26" i="24"/>
  <c r="E27" i="24"/>
  <c r="F8" i="27"/>
  <c r="C58" i="43"/>
  <c r="C59" i="43"/>
  <c r="C60" i="43"/>
  <c r="C61" i="43"/>
  <c r="C64" i="43"/>
  <c r="C66" i="43"/>
  <c r="D7" i="43"/>
  <c r="D83" i="43"/>
  <c r="D85" i="43"/>
  <c r="D86" i="43"/>
  <c r="D65" i="43"/>
  <c r="D11" i="43"/>
  <c r="D12" i="43"/>
  <c r="D26" i="43"/>
  <c r="D37" i="43"/>
  <c r="D14" i="43"/>
  <c r="D15" i="43"/>
  <c r="D30" i="43"/>
  <c r="D31" i="43"/>
  <c r="D41" i="43"/>
  <c r="D48" i="43"/>
  <c r="D52" i="43"/>
  <c r="D53" i="43"/>
  <c r="D54" i="43"/>
  <c r="D17" i="43"/>
  <c r="D55" i="43"/>
  <c r="G11" i="27"/>
  <c r="G12" i="27"/>
  <c r="D18" i="43"/>
  <c r="D56" i="43"/>
  <c r="G88" i="22"/>
  <c r="G7" i="24"/>
  <c r="G28" i="22"/>
  <c r="G89" i="22"/>
  <c r="G8" i="24"/>
  <c r="G52" i="22"/>
  <c r="G90" i="22"/>
  <c r="G17" i="24"/>
  <c r="G7" i="27"/>
  <c r="D57" i="43"/>
  <c r="G124" i="22"/>
  <c r="G9" i="24"/>
  <c r="G125" i="22"/>
  <c r="G14" i="24"/>
  <c r="G127" i="22"/>
  <c r="G20" i="24"/>
  <c r="G128" i="22"/>
  <c r="G21" i="24"/>
  <c r="G130" i="22"/>
  <c r="G26" i="24"/>
  <c r="G131" i="22"/>
  <c r="G27" i="24"/>
  <c r="G8" i="27"/>
  <c r="D58" i="43"/>
  <c r="D59" i="43"/>
  <c r="D60" i="43"/>
  <c r="D61" i="43"/>
  <c r="D64" i="43"/>
  <c r="D66" i="43"/>
  <c r="E7" i="43"/>
  <c r="E83" i="43"/>
  <c r="E85" i="43"/>
  <c r="E86" i="43"/>
  <c r="E65" i="43"/>
  <c r="H7" i="22"/>
  <c r="H6" i="23"/>
  <c r="H8" i="22"/>
  <c r="H7" i="23"/>
  <c r="H9" i="22"/>
  <c r="H8" i="23"/>
  <c r="H10" i="22"/>
  <c r="H9" i="23"/>
  <c r="H11" i="22"/>
  <c r="H10" i="23"/>
  <c r="H11" i="23"/>
  <c r="E11" i="43"/>
  <c r="E12" i="43"/>
  <c r="E26" i="43"/>
  <c r="E37" i="43"/>
  <c r="H23" i="22"/>
  <c r="H14" i="23"/>
  <c r="H24" i="22"/>
  <c r="H15" i="23"/>
  <c r="H25" i="22"/>
  <c r="H16" i="23"/>
  <c r="H26" i="22"/>
  <c r="H17" i="23"/>
  <c r="H27" i="22"/>
  <c r="H18" i="23"/>
  <c r="H19" i="23"/>
  <c r="H21" i="23"/>
  <c r="H12" i="22"/>
  <c r="H42" i="22"/>
  <c r="H24" i="23"/>
  <c r="H43" i="22"/>
  <c r="H25" i="23"/>
  <c r="H44" i="22"/>
  <c r="H26" i="23"/>
  <c r="H45" i="22"/>
  <c r="H27" i="23"/>
  <c r="H46" i="22"/>
  <c r="H28" i="23"/>
  <c r="H47" i="22"/>
  <c r="H29" i="23"/>
  <c r="H48" i="22"/>
  <c r="H30" i="23"/>
  <c r="H49" i="22"/>
  <c r="H31" i="23"/>
  <c r="H50" i="22"/>
  <c r="H32" i="23"/>
  <c r="H51" i="22"/>
  <c r="H33" i="23"/>
  <c r="H34" i="23"/>
  <c r="G75" i="22"/>
  <c r="H72" i="22"/>
  <c r="H74" i="22"/>
  <c r="H37" i="23"/>
  <c r="H38" i="23"/>
  <c r="H39" i="23"/>
  <c r="E14" i="43"/>
  <c r="E15" i="43"/>
  <c r="E30" i="43"/>
  <c r="E31" i="43"/>
  <c r="E41" i="43"/>
  <c r="E48" i="43"/>
  <c r="E52" i="43"/>
  <c r="E53" i="43"/>
  <c r="E54" i="43"/>
  <c r="E17" i="43"/>
  <c r="E55" i="43"/>
  <c r="H11" i="27"/>
  <c r="H12" i="27"/>
  <c r="E18" i="43"/>
  <c r="E56" i="43"/>
  <c r="H88" i="22"/>
  <c r="H7" i="24"/>
  <c r="H28" i="22"/>
  <c r="H89" i="22"/>
  <c r="H8" i="24"/>
  <c r="H52" i="22"/>
  <c r="H90" i="22"/>
  <c r="H17" i="24"/>
  <c r="H7" i="27"/>
  <c r="E57" i="43"/>
  <c r="H124" i="22"/>
  <c r="H9" i="24"/>
  <c r="H125" i="22"/>
  <c r="H14" i="24"/>
  <c r="H127" i="22"/>
  <c r="H20" i="24"/>
  <c r="H128" i="22"/>
  <c r="H21" i="24"/>
  <c r="H130" i="22"/>
  <c r="H26" i="24"/>
  <c r="H131" i="22"/>
  <c r="H27" i="24"/>
  <c r="H8" i="27"/>
  <c r="E58" i="43"/>
  <c r="E59" i="43"/>
  <c r="E60" i="43"/>
  <c r="E61" i="43"/>
  <c r="E64" i="43"/>
  <c r="E66" i="43"/>
  <c r="F7" i="43"/>
  <c r="F83" i="43"/>
  <c r="F85" i="43"/>
  <c r="F86" i="43"/>
  <c r="F65" i="43"/>
  <c r="I7" i="22"/>
  <c r="I6" i="23"/>
  <c r="I8" i="22"/>
  <c r="I7" i="23"/>
  <c r="I9" i="22"/>
  <c r="I8" i="23"/>
  <c r="I10" i="22"/>
  <c r="I9" i="23"/>
  <c r="I11" i="22"/>
  <c r="I10" i="23"/>
  <c r="I11" i="23"/>
  <c r="F11" i="43"/>
  <c r="F12" i="43"/>
  <c r="F26" i="43"/>
  <c r="F37" i="43"/>
  <c r="I23" i="22"/>
  <c r="I14" i="23"/>
  <c r="I24" i="22"/>
  <c r="I15" i="23"/>
  <c r="I25" i="22"/>
  <c r="I16" i="23"/>
  <c r="I26" i="22"/>
  <c r="I17" i="23"/>
  <c r="I27" i="22"/>
  <c r="I18" i="23"/>
  <c r="I19" i="23"/>
  <c r="I21" i="23"/>
  <c r="I12" i="22"/>
  <c r="I42" i="22"/>
  <c r="I24" i="23"/>
  <c r="I43" i="22"/>
  <c r="I25" i="23"/>
  <c r="I44" i="22"/>
  <c r="I26" i="23"/>
  <c r="I45" i="22"/>
  <c r="I27" i="23"/>
  <c r="I46" i="22"/>
  <c r="I28" i="23"/>
  <c r="I47" i="22"/>
  <c r="I29" i="23"/>
  <c r="I48" i="22"/>
  <c r="I30" i="23"/>
  <c r="I49" i="22"/>
  <c r="I31" i="23"/>
  <c r="I50" i="22"/>
  <c r="I32" i="23"/>
  <c r="I51" i="22"/>
  <c r="I33" i="23"/>
  <c r="I34" i="23"/>
  <c r="H75" i="22"/>
  <c r="I72" i="22"/>
  <c r="I74" i="22"/>
  <c r="I37" i="23"/>
  <c r="I38" i="23"/>
  <c r="I39" i="23"/>
  <c r="F14" i="43"/>
  <c r="F15" i="43"/>
  <c r="F30" i="43"/>
  <c r="F31" i="43"/>
  <c r="F41" i="43"/>
  <c r="F48" i="43"/>
  <c r="F52" i="43"/>
  <c r="F53" i="43"/>
  <c r="F54" i="43"/>
  <c r="F17" i="43"/>
  <c r="F55" i="43"/>
  <c r="I11" i="27"/>
  <c r="I12" i="27"/>
  <c r="F18" i="43"/>
  <c r="F56" i="43"/>
  <c r="I88" i="22"/>
  <c r="I7" i="24"/>
  <c r="I28" i="22"/>
  <c r="I89" i="22"/>
  <c r="I8" i="24"/>
  <c r="I52" i="22"/>
  <c r="I90" i="22"/>
  <c r="I17" i="24"/>
  <c r="I7" i="27"/>
  <c r="F57" i="43"/>
  <c r="I124" i="22"/>
  <c r="I9" i="24"/>
  <c r="I125" i="22"/>
  <c r="I14" i="24"/>
  <c r="I127" i="22"/>
  <c r="I20" i="24"/>
  <c r="I128" i="22"/>
  <c r="I21" i="24"/>
  <c r="I130" i="22"/>
  <c r="I26" i="24"/>
  <c r="I131" i="22"/>
  <c r="I27" i="24"/>
  <c r="I8" i="27"/>
  <c r="F58" i="43"/>
  <c r="F59" i="43"/>
  <c r="F60" i="43"/>
  <c r="F61" i="43"/>
  <c r="F64" i="43"/>
  <c r="F66" i="43"/>
  <c r="G7" i="43"/>
  <c r="G83" i="43"/>
  <c r="G85" i="43"/>
  <c r="G86" i="43"/>
  <c r="G65" i="43"/>
  <c r="J7" i="22"/>
  <c r="J6" i="23"/>
  <c r="J8" i="22"/>
  <c r="J7" i="23"/>
  <c r="J9" i="22"/>
  <c r="J8" i="23"/>
  <c r="J10" i="22"/>
  <c r="J9" i="23"/>
  <c r="J11" i="22"/>
  <c r="J10" i="23"/>
  <c r="J11" i="23"/>
  <c r="G11" i="43"/>
  <c r="G12" i="43"/>
  <c r="G26" i="43"/>
  <c r="G37" i="43"/>
  <c r="J23" i="22"/>
  <c r="J14" i="23"/>
  <c r="J24" i="22"/>
  <c r="J15" i="23"/>
  <c r="J25" i="22"/>
  <c r="J16" i="23"/>
  <c r="J26" i="22"/>
  <c r="J17" i="23"/>
  <c r="J27" i="22"/>
  <c r="J18" i="23"/>
  <c r="J19" i="23"/>
  <c r="J21" i="23"/>
  <c r="J12" i="22"/>
  <c r="J42" i="22"/>
  <c r="J24" i="23"/>
  <c r="J43" i="22"/>
  <c r="J25" i="23"/>
  <c r="J44" i="22"/>
  <c r="J26" i="23"/>
  <c r="J45" i="22"/>
  <c r="J27" i="23"/>
  <c r="J46" i="22"/>
  <c r="J28" i="23"/>
  <c r="J47" i="22"/>
  <c r="J29" i="23"/>
  <c r="J48" i="22"/>
  <c r="J30" i="23"/>
  <c r="J49" i="22"/>
  <c r="J31" i="23"/>
  <c r="J50" i="22"/>
  <c r="J32" i="23"/>
  <c r="J51" i="22"/>
  <c r="J33" i="23"/>
  <c r="J34" i="23"/>
  <c r="I75" i="22"/>
  <c r="J72" i="22"/>
  <c r="J74" i="22"/>
  <c r="J37" i="23"/>
  <c r="J38" i="23"/>
  <c r="J39" i="23"/>
  <c r="G14" i="43"/>
  <c r="G15" i="43"/>
  <c r="G30" i="43"/>
  <c r="G31" i="43"/>
  <c r="G41" i="43"/>
  <c r="G48" i="43"/>
  <c r="G52" i="43"/>
  <c r="G53" i="43"/>
  <c r="G54" i="43"/>
  <c r="G17" i="43"/>
  <c r="G55" i="43"/>
  <c r="J11" i="27"/>
  <c r="J12" i="27"/>
  <c r="G18" i="43"/>
  <c r="G56" i="43"/>
  <c r="J88" i="22"/>
  <c r="J7" i="24"/>
  <c r="J28" i="22"/>
  <c r="J89" i="22"/>
  <c r="J8" i="24"/>
  <c r="J52" i="22"/>
  <c r="J90" i="22"/>
  <c r="J17" i="24"/>
  <c r="J7" i="27"/>
  <c r="G57" i="43"/>
  <c r="J124" i="22"/>
  <c r="J9" i="24"/>
  <c r="J125" i="22"/>
  <c r="J14" i="24"/>
  <c r="J127" i="22"/>
  <c r="J20" i="24"/>
  <c r="J128" i="22"/>
  <c r="J21" i="24"/>
  <c r="J130" i="22"/>
  <c r="J26" i="24"/>
  <c r="J131" i="22"/>
  <c r="J27" i="24"/>
  <c r="J8" i="27"/>
  <c r="G58" i="43"/>
  <c r="G59" i="43"/>
  <c r="G60" i="43"/>
  <c r="G61" i="43"/>
  <c r="G64" i="43"/>
  <c r="G66" i="43"/>
  <c r="H65" i="43"/>
  <c r="H64" i="43"/>
  <c r="H66" i="43"/>
  <c r="C67" i="43"/>
  <c r="D76" i="43"/>
  <c r="H15" i="44"/>
  <c r="H17" i="44"/>
  <c r="F8" i="29"/>
  <c r="F9" i="29"/>
  <c r="F10" i="29"/>
  <c r="F11" i="29"/>
  <c r="F12" i="29"/>
  <c r="F13" i="29"/>
  <c r="F14" i="29"/>
  <c r="F15" i="29"/>
  <c r="F4" i="29"/>
  <c r="F16" i="29"/>
  <c r="F17" i="29"/>
  <c r="F23" i="29"/>
  <c r="A24" i="29"/>
  <c r="F19" i="29"/>
  <c r="F57" i="29"/>
  <c r="F59" i="29"/>
  <c r="F60" i="29"/>
  <c r="F24" i="29"/>
  <c r="F25" i="29"/>
  <c r="G8" i="29"/>
  <c r="G9" i="29"/>
  <c r="G10" i="29"/>
  <c r="G11" i="29"/>
  <c r="G12" i="29"/>
  <c r="G13" i="29"/>
  <c r="G14" i="29"/>
  <c r="G15" i="29"/>
  <c r="G4" i="29"/>
  <c r="G16" i="29"/>
  <c r="G17" i="29"/>
  <c r="G23" i="29"/>
  <c r="G57" i="29"/>
  <c r="G59" i="29"/>
  <c r="G60" i="29"/>
  <c r="G24" i="29"/>
  <c r="G25" i="29"/>
  <c r="H8" i="29"/>
  <c r="H9" i="29"/>
  <c r="H10" i="29"/>
  <c r="H11" i="29"/>
  <c r="H12" i="29"/>
  <c r="H13" i="29"/>
  <c r="H14" i="29"/>
  <c r="H15" i="29"/>
  <c r="H4" i="29"/>
  <c r="H16" i="29"/>
  <c r="H17" i="29"/>
  <c r="H23" i="29"/>
  <c r="H57" i="29"/>
  <c r="H59" i="29"/>
  <c r="H60" i="29"/>
  <c r="H24" i="29"/>
  <c r="H25" i="29"/>
  <c r="I8" i="29"/>
  <c r="I9" i="29"/>
  <c r="I10" i="29"/>
  <c r="I11" i="29"/>
  <c r="I12" i="29"/>
  <c r="I13" i="29"/>
  <c r="I14" i="29"/>
  <c r="I15" i="29"/>
  <c r="I4" i="29"/>
  <c r="I16" i="29"/>
  <c r="I17" i="29"/>
  <c r="I23" i="29"/>
  <c r="I57" i="29"/>
  <c r="I59" i="29"/>
  <c r="I60" i="29"/>
  <c r="I24" i="29"/>
  <c r="I25" i="29"/>
  <c r="J8" i="29"/>
  <c r="J9" i="29"/>
  <c r="J10" i="29"/>
  <c r="J11" i="29"/>
  <c r="J12" i="29"/>
  <c r="J13" i="29"/>
  <c r="J14" i="29"/>
  <c r="J15" i="29"/>
  <c r="J4" i="29"/>
  <c r="J16" i="29"/>
  <c r="J17" i="29"/>
  <c r="J23" i="29"/>
  <c r="J57" i="29"/>
  <c r="J59" i="29"/>
  <c r="J60" i="29"/>
  <c r="J24" i="29"/>
  <c r="J25" i="29"/>
  <c r="F20" i="29"/>
  <c r="K23" i="29"/>
  <c r="K24" i="29"/>
  <c r="K25" i="29"/>
  <c r="F26" i="29"/>
  <c r="F15" i="44"/>
  <c r="F16" i="44"/>
  <c r="F17" i="44"/>
  <c r="H39" i="44"/>
  <c r="F29" i="29"/>
  <c r="C19" i="28"/>
  <c r="A30" i="29"/>
  <c r="F30" i="29"/>
  <c r="F31" i="29"/>
  <c r="G29" i="29"/>
  <c r="G30" i="29"/>
  <c r="G31" i="29"/>
  <c r="H29" i="29"/>
  <c r="H30" i="29"/>
  <c r="H31" i="29"/>
  <c r="I29" i="29"/>
  <c r="I30" i="29"/>
  <c r="I31" i="29"/>
  <c r="J29" i="29"/>
  <c r="J30" i="29"/>
  <c r="J31" i="29"/>
  <c r="K29" i="29"/>
  <c r="K30" i="29"/>
  <c r="K31" i="29"/>
  <c r="F32" i="29"/>
  <c r="E15" i="44"/>
  <c r="E16" i="44"/>
  <c r="E17" i="44"/>
  <c r="F39" i="44"/>
  <c r="B37" i="43"/>
  <c r="B14" i="43"/>
  <c r="B15" i="43"/>
  <c r="B30" i="43"/>
  <c r="B31" i="43"/>
  <c r="B41" i="43"/>
  <c r="B48" i="43"/>
  <c r="B52" i="43"/>
  <c r="E13" i="24"/>
  <c r="F24" i="44"/>
  <c r="D160" i="22"/>
  <c r="D161" i="22"/>
  <c r="D163" i="22"/>
  <c r="F23" i="44"/>
  <c r="E6" i="24"/>
  <c r="E10" i="24"/>
  <c r="E12" i="24"/>
  <c r="E15" i="24"/>
  <c r="E18" i="24"/>
  <c r="E19" i="24"/>
  <c r="E22" i="24"/>
  <c r="E24" i="24"/>
  <c r="E25" i="24"/>
  <c r="E28" i="24"/>
  <c r="E30" i="24"/>
  <c r="F22" i="44"/>
  <c r="H22" i="44"/>
  <c r="E160" i="22"/>
  <c r="E161" i="22"/>
  <c r="E163" i="22"/>
  <c r="H23" i="44"/>
  <c r="F34" i="44"/>
  <c r="F44" i="44"/>
  <c r="F25" i="44"/>
  <c r="F42" i="44"/>
  <c r="H33" i="44"/>
  <c r="H34" i="44"/>
  <c r="H44" i="44"/>
  <c r="A2" i="44"/>
  <c r="B10" i="32" s="1"/>
  <c r="A2" i="43"/>
  <c r="B9" i="32" s="1"/>
  <c r="A2" i="29"/>
  <c r="A1" i="44"/>
  <c r="A1" i="43"/>
  <c r="B5" i="43"/>
  <c r="G37" i="29"/>
  <c r="D78" i="43"/>
  <c r="F37" i="29"/>
  <c r="C78" i="43"/>
  <c r="E173" i="22"/>
  <c r="G36" i="29"/>
  <c r="D77" i="43"/>
  <c r="D173" i="22"/>
  <c r="F36" i="29"/>
  <c r="C77" i="43"/>
  <c r="A71" i="43"/>
  <c r="G19" i="43"/>
  <c r="F19" i="43"/>
  <c r="E19" i="43"/>
  <c r="D19" i="43"/>
  <c r="C19" i="43"/>
  <c r="E7" i="27"/>
  <c r="B19" i="43"/>
  <c r="E72" i="22"/>
  <c r="E73" i="22"/>
  <c r="E11" i="27"/>
  <c r="E81" i="22"/>
  <c r="E82" i="22"/>
  <c r="E12" i="27"/>
  <c r="B18" i="43"/>
  <c r="B17" i="43"/>
  <c r="A4" i="32"/>
  <c r="A5" i="32"/>
  <c r="A6" i="32"/>
  <c r="A7" i="32"/>
  <c r="A8" i="32"/>
  <c r="A9" i="32"/>
  <c r="A10" i="32"/>
  <c r="D73" i="22"/>
  <c r="A7" i="43"/>
  <c r="A1" i="29"/>
  <c r="B8" i="32"/>
  <c r="A4" i="29"/>
  <c r="A1" i="28"/>
  <c r="A2" i="28"/>
  <c r="B7" i="32"/>
  <c r="B5" i="28"/>
  <c r="C5" i="28"/>
  <c r="B6" i="28"/>
  <c r="C6" i="28"/>
  <c r="B7" i="28"/>
  <c r="C7" i="28"/>
  <c r="B8" i="28"/>
  <c r="C8" i="28"/>
  <c r="B9" i="28"/>
  <c r="C9" i="28"/>
  <c r="B12" i="28"/>
  <c r="C12" i="28"/>
  <c r="B15" i="28"/>
  <c r="C15" i="28"/>
  <c r="B16" i="28"/>
  <c r="C16" i="28"/>
  <c r="A1" i="27"/>
  <c r="A2" i="27"/>
  <c r="B6" i="32" s="1"/>
  <c r="A4" i="27"/>
  <c r="G4" i="27"/>
  <c r="H4" i="27"/>
  <c r="I4" i="27"/>
  <c r="J4" i="27"/>
  <c r="F18" i="27"/>
  <c r="J33" i="24"/>
  <c r="J18" i="27"/>
  <c r="G6" i="24"/>
  <c r="H21" i="27"/>
  <c r="A1" i="24"/>
  <c r="A2" i="24"/>
  <c r="B5" i="32"/>
  <c r="A4" i="24"/>
  <c r="E4" i="24"/>
  <c r="D4" i="24"/>
  <c r="F4" i="24"/>
  <c r="G4" i="24"/>
  <c r="H4" i="24"/>
  <c r="I4" i="24"/>
  <c r="J4" i="24"/>
  <c r="E21" i="27"/>
  <c r="E22" i="27"/>
  <c r="G21" i="27"/>
  <c r="G22" i="27"/>
  <c r="H6" i="24"/>
  <c r="I21" i="27"/>
  <c r="I6" i="24"/>
  <c r="I22" i="27"/>
  <c r="J6" i="24"/>
  <c r="J22" i="27"/>
  <c r="G18" i="24"/>
  <c r="H18" i="24"/>
  <c r="I18" i="24"/>
  <c r="J18" i="24"/>
  <c r="E18" i="27"/>
  <c r="E19" i="27"/>
  <c r="G33" i="24"/>
  <c r="G18" i="27"/>
  <c r="H33" i="24"/>
  <c r="H18" i="27"/>
  <c r="I33" i="24"/>
  <c r="I18" i="27"/>
  <c r="D33" i="24"/>
  <c r="D35" i="24"/>
  <c r="D38" i="24"/>
  <c r="A1" i="23"/>
  <c r="A2" i="23"/>
  <c r="B4" i="32" s="1"/>
  <c r="A4" i="23"/>
  <c r="E4" i="23"/>
  <c r="D4" i="23"/>
  <c r="A6" i="23"/>
  <c r="D6" i="23"/>
  <c r="A7" i="23"/>
  <c r="D7" i="23"/>
  <c r="A8" i="23"/>
  <c r="D8" i="23"/>
  <c r="A9" i="23"/>
  <c r="D9" i="23"/>
  <c r="A10" i="23"/>
  <c r="D10" i="23"/>
  <c r="A14" i="23"/>
  <c r="D14" i="23"/>
  <c r="A15" i="23"/>
  <c r="D15" i="23"/>
  <c r="A16" i="23"/>
  <c r="D16" i="23"/>
  <c r="A17" i="23"/>
  <c r="D17" i="23"/>
  <c r="E22" i="23"/>
  <c r="A18" i="23"/>
  <c r="D18" i="23"/>
  <c r="D19" i="23"/>
  <c r="A24" i="23"/>
  <c r="D24" i="23"/>
  <c r="A25" i="23"/>
  <c r="D25" i="23"/>
  <c r="A26" i="23"/>
  <c r="D26" i="23"/>
  <c r="A27" i="23"/>
  <c r="D27" i="23"/>
  <c r="A28" i="23"/>
  <c r="D28" i="23"/>
  <c r="A29" i="23"/>
  <c r="D29" i="23"/>
  <c r="A30" i="23"/>
  <c r="D30" i="23"/>
  <c r="A31" i="23"/>
  <c r="D31" i="23"/>
  <c r="A32" i="23"/>
  <c r="D32" i="23"/>
  <c r="A33" i="23"/>
  <c r="D33" i="23"/>
  <c r="D37" i="23"/>
  <c r="D38" i="23"/>
  <c r="D42" i="23"/>
  <c r="E15" i="27"/>
  <c r="D43" i="23"/>
  <c r="E16" i="27"/>
  <c r="D45" i="23"/>
  <c r="E9" i="27"/>
  <c r="A1" i="32"/>
  <c r="A2" i="32"/>
  <c r="B10" i="25"/>
  <c r="B11" i="25"/>
  <c r="B14" i="25"/>
  <c r="B45" i="25"/>
  <c r="A1" i="22"/>
  <c r="A2" i="22"/>
  <c r="A4" i="22"/>
  <c r="E4" i="22"/>
  <c r="D4" i="22"/>
  <c r="A7" i="22"/>
  <c r="A8" i="22"/>
  <c r="A9" i="22"/>
  <c r="A10" i="22"/>
  <c r="A11" i="22"/>
  <c r="D12" i="22"/>
  <c r="E28" i="22"/>
  <c r="E35" i="22"/>
  <c r="A14" i="22"/>
  <c r="E14" i="22"/>
  <c r="A15" i="22"/>
  <c r="E15" i="22"/>
  <c r="A16" i="22"/>
  <c r="E16" i="22"/>
  <c r="A17" i="22"/>
  <c r="E17" i="22"/>
  <c r="A18" i="22"/>
  <c r="E18" i="22"/>
  <c r="E19" i="22"/>
  <c r="A23" i="22"/>
  <c r="A24" i="22"/>
  <c r="A25" i="22"/>
  <c r="A26" i="22"/>
  <c r="A27" i="22"/>
  <c r="D28" i="22"/>
  <c r="D37" i="22"/>
  <c r="A30" i="22"/>
  <c r="D30" i="22"/>
  <c r="E30" i="22"/>
  <c r="A31" i="22"/>
  <c r="D31" i="22"/>
  <c r="E31" i="22"/>
  <c r="A32" i="22"/>
  <c r="D32" i="22"/>
  <c r="E32" i="22"/>
  <c r="A33" i="22"/>
  <c r="D33" i="22"/>
  <c r="E33" i="22"/>
  <c r="A34" i="22"/>
  <c r="D34" i="22"/>
  <c r="E34" i="22"/>
  <c r="D35" i="22"/>
  <c r="E37" i="22"/>
  <c r="E52" i="22"/>
  <c r="E67" i="22"/>
  <c r="E68" i="22"/>
  <c r="D52" i="22"/>
  <c r="D65" i="22"/>
  <c r="A54" i="22"/>
  <c r="D54" i="22"/>
  <c r="E54" i="22"/>
  <c r="A55" i="22"/>
  <c r="D55" i="22"/>
  <c r="E55" i="22"/>
  <c r="A56" i="22"/>
  <c r="D56" i="22"/>
  <c r="E56" i="22"/>
  <c r="A57" i="22"/>
  <c r="D57" i="22"/>
  <c r="E57" i="22"/>
  <c r="A58" i="22"/>
  <c r="D58" i="22"/>
  <c r="E58" i="22"/>
  <c r="A59" i="22"/>
  <c r="D59" i="22"/>
  <c r="E59" i="22"/>
  <c r="A60" i="22"/>
  <c r="D60" i="22"/>
  <c r="E60" i="22"/>
  <c r="A61" i="22"/>
  <c r="D61" i="22"/>
  <c r="E61" i="22"/>
  <c r="A62" i="22"/>
  <c r="D62" i="22"/>
  <c r="E62" i="22"/>
  <c r="A63" i="22"/>
  <c r="D63" i="22"/>
  <c r="E63" i="22"/>
  <c r="E65" i="22"/>
  <c r="D67" i="22"/>
  <c r="D68" i="22"/>
  <c r="D77" i="22"/>
  <c r="D78" i="22"/>
  <c r="D79" i="22"/>
  <c r="E79" i="22"/>
  <c r="D82" i="22"/>
  <c r="D93" i="22"/>
  <c r="E93" i="22"/>
  <c r="D94" i="22"/>
  <c r="E94" i="22"/>
  <c r="D95" i="22"/>
  <c r="E95" i="22"/>
  <c r="F15" i="27"/>
  <c r="G15" i="27"/>
  <c r="H100" i="22"/>
  <c r="H42" i="23"/>
  <c r="H15" i="27"/>
  <c r="I100" i="22"/>
  <c r="I42" i="23"/>
  <c r="I15" i="27"/>
  <c r="J100" i="22"/>
  <c r="J42" i="23"/>
  <c r="J15" i="27"/>
  <c r="E101" i="22"/>
  <c r="D105" i="22"/>
  <c r="E108" i="22"/>
  <c r="F16" i="27"/>
  <c r="D141" i="22"/>
  <c r="B10" i="28"/>
  <c r="E141" i="22"/>
  <c r="C10" i="28"/>
  <c r="D144" i="22"/>
  <c r="B13" i="28"/>
  <c r="E144" i="22"/>
  <c r="C13" i="28"/>
  <c r="E148" i="22"/>
  <c r="C17" i="28"/>
  <c r="A1" i="7"/>
  <c r="A2" i="7"/>
  <c r="H44" i="29"/>
  <c r="E78" i="22"/>
  <c r="E77" i="22"/>
  <c r="F4" i="22"/>
  <c r="G4" i="22"/>
  <c r="H4" i="22"/>
  <c r="I4" i="22"/>
  <c r="J4" i="22"/>
  <c r="D148" i="22"/>
  <c r="B17" i="28"/>
  <c r="G81" i="22"/>
  <c r="G84" i="22"/>
  <c r="D11" i="23"/>
  <c r="F4" i="23"/>
  <c r="G4" i="23"/>
  <c r="H4" i="23"/>
  <c r="I4" i="23"/>
  <c r="J4" i="23"/>
  <c r="E14" i="27"/>
  <c r="H22" i="27"/>
  <c r="F21" i="27"/>
  <c r="F22" i="27"/>
  <c r="E8" i="27"/>
  <c r="J21" i="27"/>
  <c r="H24" i="44"/>
  <c r="J44" i="29"/>
  <c r="F44" i="29"/>
  <c r="G56" i="29"/>
  <c r="G58" i="29"/>
  <c r="F56" i="29"/>
  <c r="F58" i="29"/>
  <c r="C82" i="43"/>
  <c r="C84" i="43"/>
  <c r="H25" i="44"/>
  <c r="H42" i="44"/>
  <c r="F79" i="22"/>
  <c r="F19" i="22"/>
  <c r="F78" i="22"/>
  <c r="F12" i="23"/>
  <c r="E12" i="23"/>
  <c r="D21" i="23"/>
  <c r="D34" i="23"/>
  <c r="D22" i="23"/>
  <c r="E6" i="27"/>
  <c r="E20" i="27"/>
  <c r="E24" i="27"/>
  <c r="E35" i="23"/>
  <c r="G13" i="24"/>
  <c r="H81" i="22"/>
  <c r="H84" i="22"/>
  <c r="F22" i="23"/>
  <c r="F37" i="22"/>
  <c r="H56" i="29"/>
  <c r="H58" i="29"/>
  <c r="F65" i="22"/>
  <c r="H13" i="24"/>
  <c r="I81" i="22"/>
  <c r="I84" i="22"/>
  <c r="F35" i="22"/>
  <c r="C71" i="43"/>
  <c r="E113" i="22"/>
  <c r="D35" i="23"/>
  <c r="D39" i="23"/>
  <c r="D44" i="23"/>
  <c r="G129" i="22"/>
  <c r="G35" i="22"/>
  <c r="G19" i="22"/>
  <c r="G78" i="22"/>
  <c r="I56" i="29"/>
  <c r="I58" i="29"/>
  <c r="D46" i="23"/>
  <c r="D113" i="22"/>
  <c r="I13" i="24"/>
  <c r="J81" i="22"/>
  <c r="J84" i="22"/>
  <c r="J13" i="24"/>
  <c r="G12" i="23"/>
  <c r="G22" i="23"/>
  <c r="F67" i="22"/>
  <c r="F68" i="22"/>
  <c r="H37" i="22"/>
  <c r="H19" i="22"/>
  <c r="H78" i="22"/>
  <c r="H35" i="22"/>
  <c r="F6" i="27"/>
  <c r="F35" i="23"/>
  <c r="G25" i="24"/>
  <c r="H129" i="22"/>
  <c r="G12" i="24"/>
  <c r="G79" i="22"/>
  <c r="G37" i="22"/>
  <c r="G65" i="22"/>
  <c r="E118" i="22"/>
  <c r="C27" i="43"/>
  <c r="D82" i="43"/>
  <c r="D84" i="43"/>
  <c r="I12" i="23"/>
  <c r="G10" i="24"/>
  <c r="D34" i="24"/>
  <c r="D32" i="24"/>
  <c r="D118" i="22"/>
  <c r="H65" i="22"/>
  <c r="J56" i="29"/>
  <c r="J58" i="29"/>
  <c r="D27" i="43"/>
  <c r="E38" i="24"/>
  <c r="C38" i="43"/>
  <c r="H12" i="23"/>
  <c r="H22" i="23"/>
  <c r="G67" i="22"/>
  <c r="G68" i="22"/>
  <c r="H25" i="24"/>
  <c r="I129" i="22"/>
  <c r="H67" i="22"/>
  <c r="H68" i="22"/>
  <c r="I35" i="22"/>
  <c r="I78" i="22"/>
  <c r="I19" i="22"/>
  <c r="I37" i="22"/>
  <c r="G15" i="24"/>
  <c r="H10" i="24"/>
  <c r="B49" i="43"/>
  <c r="B42" i="43"/>
  <c r="F82" i="43"/>
  <c r="F84" i="43"/>
  <c r="E82" i="43"/>
  <c r="E84" i="43"/>
  <c r="G6" i="27"/>
  <c r="G35" i="23"/>
  <c r="I22" i="23"/>
  <c r="I65" i="22"/>
  <c r="E27" i="43"/>
  <c r="I25" i="24"/>
  <c r="J129" i="22"/>
  <c r="J25" i="24"/>
  <c r="H6" i="27"/>
  <c r="H35" i="23"/>
  <c r="H12" i="24"/>
  <c r="H15" i="24"/>
  <c r="H79" i="22"/>
  <c r="J19" i="22"/>
  <c r="J37" i="22"/>
  <c r="J78" i="22"/>
  <c r="D38" i="43"/>
  <c r="D71" i="43"/>
  <c r="C42" i="43"/>
  <c r="C49" i="43"/>
  <c r="I6" i="27"/>
  <c r="I35" i="23"/>
  <c r="J65" i="22"/>
  <c r="E71" i="43"/>
  <c r="I67" i="22"/>
  <c r="I68" i="22"/>
  <c r="E38" i="43"/>
  <c r="I10" i="24"/>
  <c r="J67" i="22"/>
  <c r="J68" i="22"/>
  <c r="D42" i="43"/>
  <c r="D49" i="43"/>
  <c r="J35" i="22"/>
  <c r="J12" i="23"/>
  <c r="J22" i="23"/>
  <c r="F27" i="43"/>
  <c r="G82" i="43"/>
  <c r="G84" i="43"/>
  <c r="F38" i="43"/>
  <c r="C70" i="43"/>
  <c r="C72" i="43"/>
  <c r="J6" i="27"/>
  <c r="J35" i="23"/>
  <c r="G27" i="43"/>
  <c r="J10" i="24"/>
  <c r="G71" i="43"/>
  <c r="H71" i="43"/>
  <c r="F71" i="43"/>
  <c r="E42" i="43"/>
  <c r="E49" i="43"/>
  <c r="I12" i="24"/>
  <c r="I15" i="24"/>
  <c r="I79" i="22"/>
  <c r="F19" i="27"/>
  <c r="G38" i="43"/>
  <c r="F9" i="27"/>
  <c r="D70" i="43"/>
  <c r="D72" i="43"/>
  <c r="E70" i="43"/>
  <c r="E72" i="43"/>
  <c r="G32" i="24"/>
  <c r="F38" i="24"/>
  <c r="F14" i="27"/>
  <c r="F20" i="27"/>
  <c r="F24" i="27"/>
  <c r="J75" i="22"/>
  <c r="F42" i="43"/>
  <c r="F49" i="43"/>
  <c r="F104" i="22"/>
  <c r="J12" i="24"/>
  <c r="J15" i="24"/>
  <c r="J79" i="22"/>
  <c r="F70" i="43"/>
  <c r="F72" i="43"/>
  <c r="G16" i="27"/>
  <c r="G42" i="43"/>
  <c r="G49" i="43"/>
  <c r="G126" i="22"/>
  <c r="G19" i="24"/>
  <c r="G22" i="24"/>
  <c r="G9" i="27"/>
  <c r="G70" i="43"/>
  <c r="H70" i="43"/>
  <c r="J53" i="29"/>
  <c r="H52" i="29"/>
  <c r="F53" i="29"/>
  <c r="J51" i="29"/>
  <c r="H54" i="29"/>
  <c r="J52" i="29"/>
  <c r="H51" i="29"/>
  <c r="F52" i="29"/>
  <c r="H53" i="29"/>
  <c r="F51" i="29"/>
  <c r="J54" i="29"/>
  <c r="F54" i="29"/>
  <c r="K54" i="29"/>
  <c r="I52" i="29"/>
  <c r="G51" i="29"/>
  <c r="G52" i="29"/>
  <c r="I53" i="29"/>
  <c r="K53" i="29"/>
  <c r="K51" i="29"/>
  <c r="K52" i="29"/>
  <c r="G53" i="29"/>
  <c r="I54" i="29"/>
  <c r="I51" i="29"/>
  <c r="G54" i="29"/>
  <c r="F35" i="29"/>
  <c r="F38" i="29"/>
  <c r="G35" i="29"/>
  <c r="G38" i="29"/>
  <c r="H72" i="43"/>
  <c r="G72" i="43"/>
  <c r="G34" i="24"/>
  <c r="G117" i="22"/>
  <c r="G35" i="24"/>
  <c r="G19" i="27"/>
  <c r="C73" i="43"/>
  <c r="C76" i="43"/>
  <c r="G36" i="24"/>
  <c r="H43" i="44"/>
  <c r="H45" i="44"/>
  <c r="C79" i="43"/>
  <c r="G15" i="44"/>
  <c r="G17" i="44"/>
  <c r="D79" i="43"/>
  <c r="H32" i="24"/>
  <c r="G30" i="24"/>
  <c r="G28" i="24"/>
  <c r="G24" i="24"/>
  <c r="H46" i="44"/>
  <c r="H51" i="44"/>
  <c r="H52" i="44"/>
  <c r="F43" i="44"/>
  <c r="F45" i="44"/>
  <c r="G105" i="22"/>
  <c r="G14" i="27"/>
  <c r="G20" i="27"/>
  <c r="G24" i="27"/>
  <c r="G38" i="24"/>
  <c r="F46" i="44"/>
  <c r="F51" i="44"/>
  <c r="F52" i="44"/>
  <c r="G104" i="22"/>
  <c r="H107" i="22"/>
  <c r="H43" i="23"/>
  <c r="H16" i="27"/>
  <c r="H44" i="23"/>
  <c r="H112" i="22"/>
  <c r="H45" i="23"/>
  <c r="H126" i="22"/>
  <c r="H19" i="24"/>
  <c r="H22" i="24"/>
  <c r="H46" i="23"/>
  <c r="H9" i="27"/>
  <c r="H34" i="24"/>
  <c r="H117" i="22"/>
  <c r="H35" i="24"/>
  <c r="H19" i="27"/>
  <c r="H36" i="24"/>
  <c r="H30" i="24"/>
  <c r="H28" i="24"/>
  <c r="H24" i="24"/>
  <c r="I32" i="24"/>
  <c r="H38" i="24"/>
  <c r="H105" i="22"/>
  <c r="H14" i="27"/>
  <c r="H20" i="27"/>
  <c r="H24" i="27"/>
  <c r="I107" i="22"/>
  <c r="I43" i="23"/>
  <c r="H104" i="22"/>
  <c r="I16" i="27"/>
  <c r="I44" i="23"/>
  <c r="I112" i="22"/>
  <c r="I45" i="23"/>
  <c r="I126" i="22"/>
  <c r="I19" i="24"/>
  <c r="I22" i="24"/>
  <c r="I46" i="23"/>
  <c r="I9" i="27"/>
  <c r="I34" i="24"/>
  <c r="I117" i="22"/>
  <c r="I35" i="24"/>
  <c r="I19" i="27"/>
  <c r="I36" i="24"/>
  <c r="I30" i="24"/>
  <c r="I28" i="24"/>
  <c r="I24" i="24"/>
  <c r="J32" i="24"/>
  <c r="I38" i="24"/>
  <c r="I105" i="22"/>
  <c r="I14" i="27"/>
  <c r="I20" i="27"/>
  <c r="I24" i="27"/>
  <c r="I104" i="22"/>
  <c r="J107" i="22"/>
  <c r="J43" i="23"/>
  <c r="J16" i="27"/>
  <c r="J44" i="23"/>
  <c r="J112" i="22"/>
  <c r="J45" i="23"/>
  <c r="J126" i="22"/>
  <c r="J19" i="24"/>
  <c r="J22" i="24"/>
  <c r="J9" i="27"/>
  <c r="J46" i="23"/>
  <c r="J34" i="24"/>
  <c r="J117" i="22"/>
  <c r="J35" i="24"/>
  <c r="J19" i="27"/>
  <c r="J36" i="24"/>
  <c r="J30" i="24"/>
  <c r="J28" i="24"/>
  <c r="J24" i="24"/>
  <c r="J38" i="24"/>
  <c r="J105" i="22"/>
  <c r="J104" i="22"/>
  <c r="J14" i="27"/>
  <c r="J20" i="27"/>
  <c r="J24" i="27"/>
</calcChain>
</file>

<file path=xl/sharedStrings.xml><?xml version="1.0" encoding="utf-8"?>
<sst xmlns="http://schemas.openxmlformats.org/spreadsheetml/2006/main" count="412" uniqueCount="260">
  <si>
    <t>Introduction</t>
  </si>
  <si>
    <t>Contact details</t>
  </si>
  <si>
    <t>Leadenhall Corporate Advisory Pty Ltd is not be liable for any loss or damage which may be sustained by any person using or relying on this template.</t>
  </si>
  <si>
    <t>It is the user's responsibility to understand the business / asset being valued and apply the appropriate methodology, given the specific circumstances.</t>
  </si>
  <si>
    <t>$'000</t>
  </si>
  <si>
    <t>Revenue</t>
  </si>
  <si>
    <t>Cost of sales</t>
  </si>
  <si>
    <t>http://www.leadenhall.com.au/leadenhall-team/</t>
  </si>
  <si>
    <t>Client:</t>
  </si>
  <si>
    <t>Subject:</t>
  </si>
  <si>
    <t>Scope:</t>
  </si>
  <si>
    <t>Valuation date:</t>
  </si>
  <si>
    <t>Preparer:</t>
  </si>
  <si>
    <t>Last y/e:</t>
  </si>
  <si>
    <t>Units</t>
  </si>
  <si>
    <t>Segment 1:</t>
  </si>
  <si>
    <t>Segment 2:</t>
  </si>
  <si>
    <t>Segment 3:</t>
  </si>
  <si>
    <t>Segment 4:</t>
  </si>
  <si>
    <t>Segment 5:</t>
  </si>
  <si>
    <t>Client Pty Limited</t>
  </si>
  <si>
    <t>Subject Pty Limited</t>
  </si>
  <si>
    <t>Preparer Partners</t>
  </si>
  <si>
    <t>Widgets</t>
  </si>
  <si>
    <t>Wobbles</t>
  </si>
  <si>
    <t>Wizzles</t>
  </si>
  <si>
    <t>Wonks</t>
  </si>
  <si>
    <t>Weebats</t>
  </si>
  <si>
    <t>Total revenue growth</t>
  </si>
  <si>
    <t>Total gross margin</t>
  </si>
  <si>
    <t>Total gross profit</t>
  </si>
  <si>
    <t>Note:</t>
  </si>
  <si>
    <t>If no cost of sales insert 100% gross margins here.</t>
  </si>
  <si>
    <t>Total revenue</t>
  </si>
  <si>
    <t>Operating costs</t>
  </si>
  <si>
    <t>Total Operating Costs</t>
  </si>
  <si>
    <t>% of Revenue</t>
  </si>
  <si>
    <t>Expense 1</t>
  </si>
  <si>
    <t>Expense 2</t>
  </si>
  <si>
    <t>Expense 3</t>
  </si>
  <si>
    <t>Expense 4</t>
  </si>
  <si>
    <t>Expense 5</t>
  </si>
  <si>
    <t>Expense 6</t>
  </si>
  <si>
    <t>Expense 7</t>
  </si>
  <si>
    <t>Expense 8</t>
  </si>
  <si>
    <t>Expense 9</t>
  </si>
  <si>
    <t>Expense 10</t>
  </si>
  <si>
    <t>Enter expense categories in column A.</t>
  </si>
  <si>
    <t>EBITDA</t>
  </si>
  <si>
    <t>Exclude depreciation here.</t>
  </si>
  <si>
    <t>EBITDA margin</t>
  </si>
  <si>
    <t>Notes:</t>
  </si>
  <si>
    <t>Expense</t>
  </si>
  <si>
    <t>Forecast basis</t>
  </si>
  <si>
    <t>% growth</t>
  </si>
  <si>
    <t>% of sales</t>
  </si>
  <si>
    <t>Select basis of forecasting expenses in column B.</t>
  </si>
  <si>
    <t>Fixed assets and depreciation</t>
  </si>
  <si>
    <t>Net additions</t>
  </si>
  <si>
    <t>Depreciation</t>
  </si>
  <si>
    <t>Closing PPE</t>
  </si>
  <si>
    <t>Average PPE / revenue</t>
  </si>
  <si>
    <t>Capex / revenue</t>
  </si>
  <si>
    <t>Depreciation / opening PPE</t>
  </si>
  <si>
    <t>Opening property, plant and equipment (PPE)</t>
  </si>
  <si>
    <t>Working capital</t>
  </si>
  <si>
    <t>Trade receivables</t>
  </si>
  <si>
    <t>Inventory</t>
  </si>
  <si>
    <t>Trade payables</t>
  </si>
  <si>
    <t>Receivables days</t>
  </si>
  <si>
    <t>Inventory days</t>
  </si>
  <si>
    <t>COGS</t>
  </si>
  <si>
    <t>Payables days</t>
  </si>
  <si>
    <t>COGS + Opex</t>
  </si>
  <si>
    <t>Select basis for forecasting working capital.</t>
  </si>
  <si>
    <t>If COGS is entered above, inventory days is usually based on COGS, otherwise select revenue.</t>
  </si>
  <si>
    <t>Enter projected days in columns F to J.</t>
  </si>
  <si>
    <t>Net debt</t>
  </si>
  <si>
    <t>Cash</t>
  </si>
  <si>
    <t>Interest income</t>
  </si>
  <si>
    <t>Interest rate</t>
  </si>
  <si>
    <t>Assumptions about cash, debt and interest do not impact the valuation conclusions.</t>
  </si>
  <si>
    <t>Current borrowings</t>
  </si>
  <si>
    <t>Non-current borrowings</t>
  </si>
  <si>
    <t>Total borrowings</t>
  </si>
  <si>
    <t>Interest is based on opening balances as an approximation.</t>
  </si>
  <si>
    <t>Interest expense</t>
  </si>
  <si>
    <t>Gross profit</t>
  </si>
  <si>
    <t>Gross margin</t>
  </si>
  <si>
    <t>Amortisation</t>
  </si>
  <si>
    <t>EBIT</t>
  </si>
  <si>
    <t>EBIT margin</t>
  </si>
  <si>
    <t>Profit before tax</t>
  </si>
  <si>
    <t>Tax expense</t>
  </si>
  <si>
    <t>Profit after tax</t>
  </si>
  <si>
    <t>Other current assets</t>
  </si>
  <si>
    <t>Current assets</t>
  </si>
  <si>
    <t>Property, plant and equipment</t>
  </si>
  <si>
    <t>Intangibles</t>
  </si>
  <si>
    <t>Other non-current assets</t>
  </si>
  <si>
    <t>Opening intangibles</t>
  </si>
  <si>
    <t>Additions</t>
  </si>
  <si>
    <t>Closing intangibles</t>
  </si>
  <si>
    <t>Tax</t>
  </si>
  <si>
    <t>Dividends</t>
  </si>
  <si>
    <t>Other assets and liabilities</t>
  </si>
  <si>
    <t>Current tax liabilities</t>
  </si>
  <si>
    <t>Current provisions</t>
  </si>
  <si>
    <t>Other current liabilities</t>
  </si>
  <si>
    <t>Deferred tax liabilities</t>
  </si>
  <si>
    <t>Non-current provisions</t>
  </si>
  <si>
    <t>Other non-current liabilities</t>
  </si>
  <si>
    <t>Other assets and liabilities (except current tax) are assumed to change in line with revenue.  Current tax liabilities is assumed to change in line with tax expense.</t>
  </si>
  <si>
    <t>Alternative assumptions may be made in this section.</t>
  </si>
  <si>
    <t>Current liabilities</t>
  </si>
  <si>
    <t>Effective tax rate</t>
  </si>
  <si>
    <t>Net assets</t>
  </si>
  <si>
    <t>Non-current liabilities</t>
  </si>
  <si>
    <t>Non-current assets</t>
  </si>
  <si>
    <t>Share capital movements</t>
  </si>
  <si>
    <t>Dividend</t>
  </si>
  <si>
    <t>Payout ratio</t>
  </si>
  <si>
    <t>Dividends and share capital</t>
  </si>
  <si>
    <t>Shares issued / (Share buybacks)</t>
  </si>
  <si>
    <t>Check</t>
  </si>
  <si>
    <t>Capital expenditure - PPE</t>
  </si>
  <si>
    <t>Capital expenditure - Intangibles</t>
  </si>
  <si>
    <t>Change in working capital</t>
  </si>
  <si>
    <t xml:space="preserve">Other movements </t>
  </si>
  <si>
    <t>Tax paid</t>
  </si>
  <si>
    <t>Dividends paid</t>
  </si>
  <si>
    <t>Net movement in cash</t>
  </si>
  <si>
    <t>Opening cash</t>
  </si>
  <si>
    <t>Closing cash</t>
  </si>
  <si>
    <t>Debt drawdown / (repayment)</t>
  </si>
  <si>
    <t>Discount rate</t>
  </si>
  <si>
    <t>Low</t>
  </si>
  <si>
    <t>High</t>
  </si>
  <si>
    <t>Risk free rate</t>
  </si>
  <si>
    <t>Market risk premium</t>
  </si>
  <si>
    <t>Equity beta</t>
  </si>
  <si>
    <t>Size premium</t>
  </si>
  <si>
    <t>Specific risk premium</t>
  </si>
  <si>
    <t>Cost of equity</t>
  </si>
  <si>
    <t>Credit spread</t>
  </si>
  <si>
    <t>Cost of debt</t>
  </si>
  <si>
    <t>Gearing (D / EV)</t>
  </si>
  <si>
    <t>Tax rate</t>
  </si>
  <si>
    <t>Selected WACC</t>
  </si>
  <si>
    <t>www.rba.gov.au/statistics/tables/</t>
  </si>
  <si>
    <t>Leadenhall publish our view on EMRP here:</t>
  </si>
  <si>
    <t>www.leadenhall.com.au/downloads/</t>
  </si>
  <si>
    <t xml:space="preserve">Long term bond yields can be obtained from Table F2: </t>
  </si>
  <si>
    <t>Calculated weighted average cost of capital</t>
  </si>
  <si>
    <t>Marginal tax rate</t>
  </si>
  <si>
    <t>Optimal gearing (not necessarily actual gearing)</t>
  </si>
  <si>
    <t>Consider lending rates from Table F5</t>
  </si>
  <si>
    <t>Net operating profit after tax</t>
  </si>
  <si>
    <t>Depreciation and amortisation</t>
  </si>
  <si>
    <t>Capital investment</t>
  </si>
  <si>
    <t>Free cash flow</t>
  </si>
  <si>
    <t>Part period factor</t>
  </si>
  <si>
    <t>Post valuation date cash flow</t>
  </si>
  <si>
    <t>Discounting convention:</t>
  </si>
  <si>
    <t>Terminal growth assumption:</t>
  </si>
  <si>
    <t>Notional tax</t>
  </si>
  <si>
    <t>Valuation conventions</t>
  </si>
  <si>
    <t>Terminal growth:</t>
  </si>
  <si>
    <t>High value</t>
  </si>
  <si>
    <t>Cash flow</t>
  </si>
  <si>
    <t>TV</t>
  </si>
  <si>
    <t>Period</t>
  </si>
  <si>
    <t>Present value</t>
  </si>
  <si>
    <t>Enterprise value</t>
  </si>
  <si>
    <t>Period end</t>
  </si>
  <si>
    <t>Mid point</t>
  </si>
  <si>
    <t>Selected</t>
  </si>
  <si>
    <t>Low value</t>
  </si>
  <si>
    <t>Surplus assets</t>
  </si>
  <si>
    <t>Equity value</t>
  </si>
  <si>
    <t>Borrowings</t>
  </si>
  <si>
    <t>Adjustments</t>
  </si>
  <si>
    <t>Surplus asset 1</t>
  </si>
  <si>
    <t>Surplus asset 2</t>
  </si>
  <si>
    <t>Surplus asset 3</t>
  </si>
  <si>
    <t>Surplus asset 4</t>
  </si>
  <si>
    <t>Surplus asset 5</t>
  </si>
  <si>
    <t>Total</t>
  </si>
  <si>
    <t>As at:</t>
  </si>
  <si>
    <t>Prepared by:</t>
  </si>
  <si>
    <t>For business valuation advice please call your Leadenhall contact:</t>
  </si>
  <si>
    <t>Enter depreciation as positive</t>
  </si>
  <si>
    <t>Enter amortisation as positive</t>
  </si>
  <si>
    <t>Enter selected WACC</t>
  </si>
  <si>
    <t>Adjust to net debt at valuation date</t>
  </si>
  <si>
    <t>Opening equity</t>
  </si>
  <si>
    <t>Closing equity</t>
  </si>
  <si>
    <t>Surplus asset as at valuation date</t>
  </si>
  <si>
    <t>Valuation period start</t>
  </si>
  <si>
    <t>End of period</t>
  </si>
  <si>
    <t>This simplified template has been developed to assist in the review and preparation of impairment analysis.</t>
  </si>
  <si>
    <t>Other movements in financial position</t>
  </si>
  <si>
    <t>Net present value</t>
  </si>
  <si>
    <t>FY17</t>
  </si>
  <si>
    <t>Key Data (From prior analysis)</t>
  </si>
  <si>
    <t xml:space="preserve">Revenue </t>
  </si>
  <si>
    <t>Growth Rate</t>
  </si>
  <si>
    <t xml:space="preserve">EBIT </t>
  </si>
  <si>
    <t>Working capital movement</t>
  </si>
  <si>
    <t>Value in Use Adjustments</t>
  </si>
  <si>
    <t>Extrapolate beyond approved budget period</t>
  </si>
  <si>
    <t>Revenue (adjusted)</t>
  </si>
  <si>
    <t>Growth Rate (adjusted)</t>
  </si>
  <si>
    <t>EBIT (adjusted)</t>
  </si>
  <si>
    <t>Future Restructurings or Enhancements</t>
  </si>
  <si>
    <t>Revenue adjustment</t>
  </si>
  <si>
    <t>EBIT adjustment</t>
  </si>
  <si>
    <t>EBIT margin (adjusted)</t>
  </si>
  <si>
    <t>Capital investment (adjustment)</t>
  </si>
  <si>
    <t>Allocation of Corporate costs</t>
  </si>
  <si>
    <t>EBIT (adjusted for VIU )</t>
  </si>
  <si>
    <t>In accordance with AASB 136 - Impairment of Assets ("AASB 136") an asset is impaired when its carrying amount exceeds its recoverable amount. The recoverable amount is calculated as the higher of the assets value in use ("VIU") and its fair value less cost of disposal ("FVLCD").</t>
  </si>
  <si>
    <t>Both VIU and FVLCD can be calculated using a DCF (using different assumptions).</t>
  </si>
  <si>
    <t>The assumption used to calculate the FVLCD are shown on the valuation sheet, while the adjustments to these assumptions to calculate VIU are included on the Value in Use sheet.</t>
  </si>
  <si>
    <t>FVLCD</t>
  </si>
  <si>
    <t>VIU</t>
  </si>
  <si>
    <t>less cost of disposal</t>
  </si>
  <si>
    <t xml:space="preserve">    N/A</t>
  </si>
  <si>
    <t>Recoverable amount</t>
  </si>
  <si>
    <t>Brand</t>
  </si>
  <si>
    <t>Software</t>
  </si>
  <si>
    <t>Customer relationships</t>
  </si>
  <si>
    <t>% Head room</t>
  </si>
  <si>
    <t xml:space="preserve">Limited Scope Impairment Analysis of </t>
  </si>
  <si>
    <t>Implied multiples</t>
  </si>
  <si>
    <t xml:space="preserve">Goodwill </t>
  </si>
  <si>
    <t>Total carrying value of intangibles (including goodwill)</t>
  </si>
  <si>
    <t xml:space="preserve">Enterprise value for impairment testing </t>
  </si>
  <si>
    <t>Net tangible operating assets</t>
  </si>
  <si>
    <t>Carrying value of intangibles</t>
  </si>
  <si>
    <t>Less: Net tangible operating assets</t>
  </si>
  <si>
    <t>Implied intangible value</t>
  </si>
  <si>
    <t xml:space="preserve">Less: Intangible carrying value </t>
  </si>
  <si>
    <t>Head  room</t>
  </si>
  <si>
    <t>Impairment</t>
  </si>
  <si>
    <t>Impairment amount</t>
  </si>
  <si>
    <t>Fair Value</t>
  </si>
  <si>
    <t>EBITA</t>
  </si>
  <si>
    <t>PE</t>
  </si>
  <si>
    <t>NPAT</t>
  </si>
  <si>
    <t>Based on the the above analysis, the implied earnings multiples are as follows:</t>
  </si>
  <si>
    <t>Add back: net debt</t>
  </si>
  <si>
    <t>Less: capitalised Intangibles</t>
  </si>
  <si>
    <t>Total value in consolidated accounts</t>
  </si>
  <si>
    <t>Growth Rate (adjustment)</t>
  </si>
  <si>
    <t>EBIT margin (adjustment)</t>
  </si>
  <si>
    <t>AASB 136 Para 33 (c) requires a steady of declining growth rate to be used beyond the approved budget period. Thus if the directors have "approved" a high growth 2 year budget, declining growth rates must be used in subsequent years even if management expects the high growth rates to continue.
This reduced growth may also impact the forecast EBIT margin.</t>
  </si>
  <si>
    <t>AASB 136 Para 33 (b) and Para 44 require cashflows from future restructurings or enhancements to an assets performance be excluded. Thus redundancy costs and restructuring benefits need to be eliminated until it can be demonstrated they can be achieved. (Refer AASB 136 Illustrative Example 5)
The removal of future restructuring benefits may impact the forecast EBIT margin.</t>
  </si>
  <si>
    <t>AASB 136 Para 100 requires corporate costs to be allocated on a reasonable and consistent basis. (Refer AASB 136 Illustrative Example 8)</t>
  </si>
  <si>
    <t>(higher of FVLCD and VIU)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</si>
</sst>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0.0%"/>
    <numFmt numFmtId="166" formatCode="_-* #,##0_-;\-* #,##0_-;_-* &quot;-&quot;??_-;_-@_-"/>
    <numFmt numFmtId="167" formatCode="_-* #,##0_-;* \(#,##0\)_-;_-* &quot;-&quot;??_-;_-@_-"/>
    <numFmt numFmtId="168" formatCode="d/mm/yyyy;@"/>
    <numFmt numFmtId="169" formatCode="&quot;FY&quot;yy"/>
    <numFmt numFmtId="170" formatCode="_(* #,##0_);_(* \(#,##0\);_(* &quot;-&quot;??_);_(@_)"/>
    <numFmt numFmtId="171" formatCode="_-* #,##0.0_-;\-* #,##0.0_-;_-* &quot;-&quot;??_-;_-@_-"/>
    <numFmt numFmtId="172" formatCode="_-* #,##0.0_-;* \(#,##0.0\)_-;_-* &quot;-&quot;??_-;_-@_-"/>
    <numFmt numFmtId="173" formatCode="&quot;Discount factor at &quot;0.0%"/>
    <numFmt numFmtId="174" formatCode="d/mm/yy;@"/>
    <numFmt numFmtId="175" formatCode="0&quot;.&quot;"/>
    <numFmt numFmtId="176" formatCode="[$-C09]d\ mmmm\ yyyy;@"/>
  </numFmts>
  <fonts count="3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rgb="FF002F6C"/>
      <name val="Calibri"/>
      <family val="2"/>
      <scheme val="minor"/>
    </font>
    <font>
      <sz val="11"/>
      <color rgb="FF002F6C"/>
      <name val="Calibri"/>
      <family val="2"/>
      <scheme val="minor"/>
    </font>
    <font>
      <b/>
      <sz val="13"/>
      <color rgb="FF8B634B"/>
      <name val="Calibri"/>
      <family val="2"/>
      <scheme val="minor"/>
    </font>
    <font>
      <b/>
      <i/>
      <sz val="11"/>
      <color theme="1"/>
      <name val="Calibri"/>
      <family val="2"/>
      <scheme val="minor"/>
    </font>
    <font>
      <b/>
      <i/>
      <sz val="11"/>
      <color rgb="FF8B634B"/>
      <name val="Calibri"/>
      <family val="2"/>
      <scheme val="minor"/>
    </font>
    <font>
      <b/>
      <sz val="11"/>
      <color theme="0"/>
      <name val="Calibri"/>
      <family val="2"/>
      <scheme val="minor"/>
    </font>
    <font>
      <b/>
      <sz val="11"/>
      <color rgb="FF8B634B"/>
      <name val="Calibri"/>
      <family val="2"/>
      <scheme val="minor"/>
    </font>
    <font>
      <i/>
      <sz val="11"/>
      <color rgb="FF002060"/>
      <name val="Calibri"/>
      <family val="2"/>
      <scheme val="minor"/>
    </font>
    <font>
      <i/>
      <sz val="11"/>
      <color rgb="FF002F6C"/>
      <name val="Calibri"/>
      <family val="2"/>
      <scheme val="minor"/>
    </font>
    <font>
      <u/>
      <sz val="11"/>
      <color theme="10"/>
      <name val="Calibri"/>
      <family val="2"/>
      <scheme val="minor"/>
    </font>
    <font>
      <b/>
      <sz val="11"/>
      <name val="Calibri"/>
      <family val="2"/>
      <scheme val="minor"/>
    </font>
    <font>
      <sz val="9"/>
      <color theme="1"/>
      <name val="Calibri"/>
      <family val="2"/>
      <scheme val="minor"/>
    </font>
    <font>
      <sz val="8"/>
      <name val="Calibri"/>
      <family val="2"/>
      <scheme val="minor"/>
    </font>
    <font>
      <sz val="11"/>
      <color rgb="FF8B634B"/>
      <name val="Calibri"/>
      <family val="2"/>
      <scheme val="minor"/>
    </font>
    <font>
      <sz val="1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11"/>
      <color rgb="FF002F6C"/>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sz val="11"/>
      <color rgb="FF002060"/>
      <name val="Calibri"/>
      <family val="2"/>
      <scheme val="minor"/>
    </font>
    <font>
      <sz val="11"/>
      <color rgb="FF3F3F76"/>
      <name val="Calibri"/>
      <family val="2"/>
      <scheme val="minor"/>
    </font>
    <font>
      <sz val="11"/>
      <color rgb="FFFF0000"/>
      <name val="Calibri"/>
      <family val="2"/>
      <scheme val="minor"/>
    </font>
    <font>
      <i/>
      <sz val="11"/>
      <color rgb="FF3F3F76"/>
      <name val="Calibri"/>
      <family val="2"/>
      <scheme val="minor"/>
    </font>
    <font>
      <sz val="8"/>
      <color theme="1"/>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rgb="FFEDF7FF"/>
        <bgColor indexed="64"/>
      </patternFill>
    </fill>
    <fill>
      <patternFill patternType="solid">
        <fgColor rgb="FF8B634B"/>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39994506668294322"/>
        <bgColor indexed="64"/>
      </patternFill>
    </fill>
    <fill>
      <patternFill patternType="solid">
        <fgColor rgb="FF002060"/>
        <bgColor indexed="64"/>
      </patternFill>
    </fill>
  </fills>
  <borders count="20">
    <border>
      <left/>
      <right/>
      <top/>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tted">
        <color rgb="FF002F6C"/>
      </left>
      <right style="dotted">
        <color rgb="FF002F6C"/>
      </right>
      <top style="dotted">
        <color rgb="FF002F6C"/>
      </top>
      <bottom style="dotted">
        <color rgb="FF002F6C"/>
      </bottom>
      <diagonal/>
    </border>
    <border>
      <left style="dotted">
        <color rgb="FF002F6C"/>
      </left>
      <right style="dotted">
        <color rgb="FF002F6C"/>
      </right>
      <top style="dotted">
        <color rgb="FF002F6C"/>
      </top>
      <bottom/>
      <diagonal/>
    </border>
    <border>
      <left/>
      <right/>
      <top style="thin">
        <color indexed="64"/>
      </top>
      <bottom/>
      <diagonal/>
    </border>
    <border>
      <left/>
      <right/>
      <top/>
      <bottom style="thin">
        <color indexed="64"/>
      </bottom>
      <diagonal/>
    </border>
    <border>
      <left/>
      <right/>
      <top style="thin">
        <color auto="1"/>
      </top>
      <bottom style="medium">
        <color auto="1"/>
      </bottom>
      <diagonal/>
    </border>
    <border>
      <left/>
      <right/>
      <top/>
      <bottom style="thick">
        <color theme="4"/>
      </bottom>
      <diagonal/>
    </border>
    <border>
      <left/>
      <right/>
      <top/>
      <bottom style="thick">
        <color theme="4" tint="0.499984740745262"/>
      </bottom>
      <diagonal/>
    </border>
    <border>
      <left style="dotted">
        <color rgb="FF002060"/>
      </left>
      <right style="dotted">
        <color rgb="FF002060"/>
      </right>
      <top style="dotted">
        <color rgb="FF002060"/>
      </top>
      <bottom style="dotted">
        <color rgb="FF002060"/>
      </bottom>
      <diagonal/>
    </border>
    <border>
      <left style="dotted">
        <color theme="3"/>
      </left>
      <right style="dotted">
        <color theme="3"/>
      </right>
      <top style="dotted">
        <color theme="3"/>
      </top>
      <bottom style="dotted">
        <color theme="3"/>
      </bottom>
      <diagonal/>
    </border>
    <border>
      <left style="dotted">
        <color theme="3"/>
      </left>
      <right style="dotted">
        <color theme="3"/>
      </right>
      <top style="dotted">
        <color theme="3"/>
      </top>
      <bottom/>
      <diagonal/>
    </border>
  </borders>
  <cellStyleXfs count="13">
    <xf numFmtId="0" fontId="0" fillId="0" borderId="0"/>
    <xf numFmtId="9" fontId="1" fillId="0" borderId="0" applyFont="0" applyFill="0" applyBorder="0" applyAlignment="0" applyProtection="0"/>
    <xf numFmtId="0" fontId="5" fillId="2" borderId="10" applyNumberFormat="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Alignment="0" applyProtection="0"/>
    <xf numFmtId="0" fontId="6" fillId="0" borderId="0" applyNumberFormat="0" applyFill="0" applyAlignment="0" applyProtection="0"/>
    <xf numFmtId="0" fontId="13" fillId="0" borderId="0" applyNumberFormat="0" applyFill="0" applyBorder="0" applyAlignment="0" applyProtection="0"/>
    <xf numFmtId="0" fontId="24" fillId="0" borderId="15" applyNumberFormat="0" applyFill="0" applyAlignment="0" applyProtection="0"/>
    <xf numFmtId="0" fontId="25" fillId="0" borderId="16" applyNumberFormat="0" applyFill="0" applyAlignment="0" applyProtection="0"/>
    <xf numFmtId="0" fontId="26" fillId="7" borderId="17" applyNumberFormat="0" applyAlignment="0" applyProtection="0"/>
  </cellStyleXfs>
  <cellXfs count="178">
    <xf numFmtId="0" fontId="0" fillId="0" borderId="0" xfId="0"/>
    <xf numFmtId="0" fontId="2" fillId="0" borderId="0" xfId="0" applyFont="1"/>
    <xf numFmtId="0" fontId="0" fillId="0" borderId="0" xfId="0" applyFont="1"/>
    <xf numFmtId="0" fontId="6" fillId="0" borderId="0" xfId="8"/>
    <xf numFmtId="0" fontId="4" fillId="0" borderId="0" xfId="7"/>
    <xf numFmtId="167" fontId="5" fillId="2" borderId="10" xfId="2" applyNumberFormat="1"/>
    <xf numFmtId="0" fontId="3" fillId="0" borderId="0" xfId="0" applyFont="1"/>
    <xf numFmtId="0" fontId="2" fillId="3" borderId="2" xfId="0" applyFont="1"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166" fontId="2" fillId="0" borderId="0" xfId="0" applyNumberFormat="1" applyFont="1"/>
    <xf numFmtId="0" fontId="8" fillId="0" borderId="0" xfId="8" applyFont="1"/>
    <xf numFmtId="0" fontId="10" fillId="0" borderId="0" xfId="0" applyFont="1"/>
    <xf numFmtId="168" fontId="5" fillId="2" borderId="10" xfId="2" applyNumberFormat="1" applyAlignment="1">
      <alignment horizontal="left"/>
    </xf>
    <xf numFmtId="169" fontId="2" fillId="0" borderId="0" xfId="0" applyNumberFormat="1" applyFont="1"/>
    <xf numFmtId="0" fontId="9" fillId="4" borderId="0" xfId="0" applyFont="1" applyFill="1"/>
    <xf numFmtId="0" fontId="7" fillId="0" borderId="0" xfId="0" applyFont="1"/>
    <xf numFmtId="0" fontId="5" fillId="2" borderId="10" xfId="2"/>
    <xf numFmtId="166" fontId="0" fillId="0" borderId="0" xfId="0" applyNumberFormat="1"/>
    <xf numFmtId="166" fontId="2" fillId="0" borderId="1" xfId="0" applyNumberFormat="1" applyFont="1" applyBorder="1"/>
    <xf numFmtId="0" fontId="0" fillId="3" borderId="0" xfId="0" applyFill="1"/>
    <xf numFmtId="167" fontId="0" fillId="0" borderId="0" xfId="0" applyNumberFormat="1"/>
    <xf numFmtId="9" fontId="3" fillId="0" borderId="0" xfId="1" applyFont="1"/>
    <xf numFmtId="0" fontId="11" fillId="2" borderId="10" xfId="2" applyFont="1"/>
    <xf numFmtId="165" fontId="5" fillId="2" borderId="10" xfId="1" applyNumberFormat="1" applyFont="1" applyFill="1" applyBorder="1"/>
    <xf numFmtId="9" fontId="5" fillId="2" borderId="10" xfId="1" applyNumberFormat="1" applyFont="1" applyFill="1" applyBorder="1"/>
    <xf numFmtId="9" fontId="5" fillId="2" borderId="11" xfId="1" applyNumberFormat="1" applyFont="1" applyFill="1" applyBorder="1"/>
    <xf numFmtId="9" fontId="7" fillId="0" borderId="1" xfId="1" applyNumberFormat="1" applyFont="1" applyBorder="1"/>
    <xf numFmtId="9" fontId="3" fillId="0" borderId="0" xfId="1" applyNumberFormat="1" applyFont="1"/>
    <xf numFmtId="165" fontId="3" fillId="0" borderId="0" xfId="1" applyNumberFormat="1" applyFont="1" applyAlignment="1">
      <alignment horizontal="right"/>
    </xf>
    <xf numFmtId="170" fontId="1" fillId="0" borderId="0" xfId="3" applyNumberFormat="1"/>
    <xf numFmtId="171" fontId="3" fillId="0" borderId="0" xfId="0" applyNumberFormat="1" applyFont="1"/>
    <xf numFmtId="0" fontId="0" fillId="3" borderId="0" xfId="0" applyFill="1" applyBorder="1"/>
    <xf numFmtId="165" fontId="3" fillId="0" borderId="0" xfId="1" applyNumberFormat="1" applyFont="1"/>
    <xf numFmtId="165" fontId="12" fillId="2" borderId="10" xfId="1" applyNumberFormat="1" applyFont="1" applyFill="1" applyBorder="1"/>
    <xf numFmtId="9" fontId="3" fillId="0" borderId="12" xfId="1" applyNumberFormat="1" applyFont="1" applyBorder="1"/>
    <xf numFmtId="169" fontId="2" fillId="5" borderId="0" xfId="0" applyNumberFormat="1" applyFont="1" applyFill="1"/>
    <xf numFmtId="0" fontId="0" fillId="5" borderId="0" xfId="0" applyFill="1"/>
    <xf numFmtId="0" fontId="0" fillId="5" borderId="0" xfId="0" applyFont="1" applyFill="1"/>
    <xf numFmtId="9" fontId="3" fillId="5" borderId="12" xfId="1" applyNumberFormat="1" applyFont="1" applyFill="1" applyBorder="1"/>
    <xf numFmtId="9" fontId="3" fillId="0" borderId="0" xfId="1" applyNumberFormat="1" applyFont="1" applyBorder="1"/>
    <xf numFmtId="9" fontId="3" fillId="5" borderId="0" xfId="1" applyNumberFormat="1" applyFont="1" applyFill="1" applyBorder="1"/>
    <xf numFmtId="9" fontId="3" fillId="5" borderId="0" xfId="1" applyFont="1" applyFill="1"/>
    <xf numFmtId="166" fontId="14" fillId="0" borderId="1" xfId="0" applyNumberFormat="1" applyFont="1" applyFill="1" applyBorder="1"/>
    <xf numFmtId="170" fontId="0" fillId="5" borderId="0" xfId="0" applyNumberFormat="1" applyFill="1"/>
    <xf numFmtId="170" fontId="0" fillId="0" borderId="0" xfId="0" applyNumberFormat="1"/>
    <xf numFmtId="170" fontId="2" fillId="5" borderId="1" xfId="0" applyNumberFormat="1" applyFont="1" applyFill="1" applyBorder="1"/>
    <xf numFmtId="170" fontId="2" fillId="0" borderId="1" xfId="0" applyNumberFormat="1" applyFont="1" applyBorder="1"/>
    <xf numFmtId="170" fontId="0" fillId="5" borderId="13" xfId="0" applyNumberFormat="1" applyFill="1" applyBorder="1"/>
    <xf numFmtId="170" fontId="0" fillId="0" borderId="13" xfId="0" applyNumberFormat="1" applyBorder="1"/>
    <xf numFmtId="170" fontId="2" fillId="5" borderId="8" xfId="0" applyNumberFormat="1" applyFont="1" applyFill="1" applyBorder="1"/>
    <xf numFmtId="170" fontId="2" fillId="0" borderId="8" xfId="0" applyNumberFormat="1" applyFont="1" applyBorder="1"/>
    <xf numFmtId="170" fontId="3" fillId="5" borderId="0" xfId="0" applyNumberFormat="1" applyFont="1" applyFill="1"/>
    <xf numFmtId="170" fontId="3" fillId="0" borderId="0" xfId="0" applyNumberFormat="1" applyFont="1"/>
    <xf numFmtId="170" fontId="3" fillId="5" borderId="1" xfId="0" applyNumberFormat="1" applyFont="1" applyFill="1" applyBorder="1"/>
    <xf numFmtId="170" fontId="3" fillId="0" borderId="1" xfId="0" applyNumberFormat="1" applyFont="1" applyBorder="1"/>
    <xf numFmtId="170" fontId="2" fillId="5" borderId="0" xfId="0" applyNumberFormat="1" applyFont="1" applyFill="1" applyBorder="1"/>
    <xf numFmtId="170" fontId="2" fillId="0" borderId="0" xfId="0" applyNumberFormat="1" applyFont="1" applyBorder="1"/>
    <xf numFmtId="170" fontId="2" fillId="5" borderId="0" xfId="0" applyNumberFormat="1" applyFont="1" applyFill="1"/>
    <xf numFmtId="170" fontId="2" fillId="0" borderId="0" xfId="0" applyNumberFormat="1" applyFont="1"/>
    <xf numFmtId="170" fontId="2" fillId="6" borderId="0" xfId="0" applyNumberFormat="1" applyFont="1" applyFill="1"/>
    <xf numFmtId="170" fontId="0" fillId="0" borderId="0" xfId="0" applyNumberFormat="1" applyFill="1"/>
    <xf numFmtId="170" fontId="2" fillId="5" borderId="14" xfId="0" applyNumberFormat="1" applyFont="1" applyFill="1" applyBorder="1"/>
    <xf numFmtId="170" fontId="2" fillId="0" borderId="14" xfId="0" applyNumberFormat="1" applyFont="1" applyFill="1" applyBorder="1"/>
    <xf numFmtId="170" fontId="2" fillId="5" borderId="12" xfId="0" applyNumberFormat="1" applyFont="1" applyFill="1" applyBorder="1"/>
    <xf numFmtId="170" fontId="2" fillId="0" borderId="12" xfId="0" applyNumberFormat="1" applyFont="1" applyBorder="1"/>
    <xf numFmtId="170" fontId="0" fillId="5" borderId="0" xfId="0" applyNumberFormat="1" applyFill="1" applyBorder="1"/>
    <xf numFmtId="170" fontId="3" fillId="0" borderId="0" xfId="0" applyNumberFormat="1" applyFont="1" applyBorder="1"/>
    <xf numFmtId="170" fontId="3" fillId="0" borderId="0" xfId="0" applyNumberFormat="1" applyFont="1" applyAlignment="1">
      <alignment horizontal="right"/>
    </xf>
    <xf numFmtId="0" fontId="2" fillId="0" borderId="0" xfId="0" applyFont="1" applyAlignment="1">
      <alignment horizontal="right"/>
    </xf>
    <xf numFmtId="165" fontId="5" fillId="2" borderId="10" xfId="2" applyNumberFormat="1"/>
    <xf numFmtId="165" fontId="2" fillId="0" borderId="0" xfId="1" applyNumberFormat="1" applyFont="1"/>
    <xf numFmtId="0" fontId="13" fillId="0" borderId="0" xfId="9"/>
    <xf numFmtId="172" fontId="5" fillId="2" borderId="10" xfId="2" applyNumberFormat="1"/>
    <xf numFmtId="165" fontId="2" fillId="0" borderId="0" xfId="0" applyNumberFormat="1" applyFont="1"/>
    <xf numFmtId="170" fontId="2" fillId="0" borderId="0" xfId="0" applyNumberFormat="1" applyFont="1" applyAlignment="1">
      <alignment horizontal="right"/>
    </xf>
    <xf numFmtId="165" fontId="0" fillId="0" borderId="0" xfId="1" applyNumberFormat="1" applyFont="1"/>
    <xf numFmtId="165" fontId="2" fillId="0" borderId="1" xfId="1" applyNumberFormat="1" applyFont="1" applyBorder="1"/>
    <xf numFmtId="165" fontId="2" fillId="0" borderId="8" xfId="1" applyNumberFormat="1" applyFont="1" applyBorder="1"/>
    <xf numFmtId="170" fontId="2" fillId="0" borderId="8" xfId="0" applyNumberFormat="1" applyFont="1" applyFill="1" applyBorder="1"/>
    <xf numFmtId="0" fontId="5" fillId="2" borderId="10" xfId="2" applyAlignment="1">
      <alignment horizontal="right"/>
    </xf>
    <xf numFmtId="165" fontId="0" fillId="0" borderId="0" xfId="1" applyNumberFormat="1" applyFont="1" applyAlignment="1">
      <alignment horizontal="left"/>
    </xf>
    <xf numFmtId="169" fontId="2" fillId="0" borderId="0" xfId="0" applyNumberFormat="1" applyFont="1" applyAlignment="1">
      <alignment horizontal="right"/>
    </xf>
    <xf numFmtId="173" fontId="0" fillId="0" borderId="0" xfId="0" applyNumberFormat="1" applyAlignment="1">
      <alignment horizontal="left"/>
    </xf>
    <xf numFmtId="2" fontId="0" fillId="0" borderId="0" xfId="0" applyNumberFormat="1"/>
    <xf numFmtId="170" fontId="2" fillId="0" borderId="1" xfId="0" applyNumberFormat="1" applyFont="1" applyFill="1" applyBorder="1"/>
    <xf numFmtId="0" fontId="15" fillId="0" borderId="0" xfId="0" applyFont="1"/>
    <xf numFmtId="174" fontId="15" fillId="0" borderId="0" xfId="0" applyNumberFormat="1" applyFont="1" applyAlignment="1">
      <alignment horizontal="right"/>
    </xf>
    <xf numFmtId="167" fontId="5" fillId="2" borderId="11" xfId="2" applyNumberFormat="1" applyBorder="1"/>
    <xf numFmtId="167" fontId="2" fillId="0" borderId="1" xfId="0" applyNumberFormat="1" applyFont="1" applyBorder="1"/>
    <xf numFmtId="170" fontId="0" fillId="0" borderId="0" xfId="0" applyNumberFormat="1" applyFill="1" applyBorder="1"/>
    <xf numFmtId="169" fontId="2" fillId="0" borderId="0" xfId="0" applyNumberFormat="1" applyFont="1" applyFill="1" applyBorder="1"/>
    <xf numFmtId="0" fontId="0" fillId="0" borderId="0" xfId="0" applyFill="1" applyBorder="1"/>
    <xf numFmtId="175" fontId="17" fillId="0" borderId="0" xfId="0" applyNumberFormat="1" applyFont="1"/>
    <xf numFmtId="169" fontId="18" fillId="0" borderId="0" xfId="9" applyNumberFormat="1" applyFont="1" applyFill="1" applyBorder="1"/>
    <xf numFmtId="0" fontId="18" fillId="0" borderId="0" xfId="9" applyFont="1" applyFill="1" applyBorder="1"/>
    <xf numFmtId="0" fontId="20" fillId="0" borderId="0" xfId="0" applyFont="1"/>
    <xf numFmtId="0" fontId="21" fillId="0" borderId="0" xfId="0" applyFont="1"/>
    <xf numFmtId="176" fontId="19" fillId="0" borderId="0" xfId="0" applyNumberFormat="1" applyFont="1" applyAlignment="1">
      <alignment horizontal="left"/>
    </xf>
    <xf numFmtId="166" fontId="3" fillId="0" borderId="0" xfId="0" applyNumberFormat="1" applyFont="1" applyAlignment="1">
      <alignment horizontal="right"/>
    </xf>
    <xf numFmtId="165" fontId="22" fillId="2" borderId="10" xfId="2" applyNumberFormat="1" applyFont="1"/>
    <xf numFmtId="2" fontId="15" fillId="0" borderId="0" xfId="0" applyNumberFormat="1" applyFont="1"/>
    <xf numFmtId="166" fontId="0" fillId="0" borderId="0" xfId="3" applyNumberFormat="1" applyFont="1"/>
    <xf numFmtId="0" fontId="26" fillId="2" borderId="17" xfId="12" applyFill="1"/>
    <xf numFmtId="0" fontId="0" fillId="6" borderId="0" xfId="0" applyFill="1"/>
    <xf numFmtId="167" fontId="27" fillId="2" borderId="18" xfId="3" applyNumberFormat="1" applyFont="1" applyFill="1" applyBorder="1"/>
    <xf numFmtId="165" fontId="11" fillId="2" borderId="17" xfId="12" applyNumberFormat="1" applyFont="1" applyFill="1"/>
    <xf numFmtId="170" fontId="18" fillId="0" borderId="0" xfId="12" applyNumberFormat="1" applyFont="1" applyFill="1" applyBorder="1"/>
    <xf numFmtId="170" fontId="18" fillId="0" borderId="13" xfId="12" applyNumberFormat="1" applyFont="1" applyFill="1" applyBorder="1"/>
    <xf numFmtId="170" fontId="14" fillId="0" borderId="14" xfId="12" applyNumberFormat="1" applyFont="1" applyFill="1" applyBorder="1"/>
    <xf numFmtId="170" fontId="14" fillId="0" borderId="0" xfId="12" applyNumberFormat="1" applyFont="1" applyFill="1" applyBorder="1"/>
    <xf numFmtId="171" fontId="0" fillId="0" borderId="0" xfId="3" applyNumberFormat="1" applyFont="1"/>
    <xf numFmtId="170" fontId="14" fillId="0" borderId="12" xfId="12" applyNumberFormat="1" applyFont="1" applyFill="1" applyBorder="1"/>
    <xf numFmtId="170" fontId="2" fillId="0" borderId="14" xfId="0" applyNumberFormat="1" applyFont="1" applyBorder="1"/>
    <xf numFmtId="0" fontId="2" fillId="6" borderId="0" xfId="0" applyFont="1" applyFill="1" applyAlignment="1">
      <alignment horizontal="right"/>
    </xf>
    <xf numFmtId="0" fontId="2" fillId="6" borderId="0" xfId="0" applyFont="1" applyFill="1"/>
    <xf numFmtId="0" fontId="2" fillId="6" borderId="0" xfId="0" applyFont="1" applyFill="1" applyAlignment="1">
      <alignment vertical="center"/>
    </xf>
    <xf numFmtId="170" fontId="14" fillId="6" borderId="14" xfId="12" applyNumberFormat="1" applyFont="1" applyFill="1" applyBorder="1" applyAlignment="1">
      <alignment vertical="center"/>
    </xf>
    <xf numFmtId="170" fontId="23" fillId="0" borderId="0" xfId="0" applyNumberFormat="1" applyFont="1"/>
    <xf numFmtId="0" fontId="23" fillId="0" borderId="0" xfId="0" applyFont="1"/>
    <xf numFmtId="171" fontId="0" fillId="0" borderId="0" xfId="0" applyNumberFormat="1" applyAlignment="1">
      <alignment horizontal="center" vertical="center"/>
    </xf>
    <xf numFmtId="165" fontId="3" fillId="0" borderId="0" xfId="1" applyNumberFormat="1" applyFont="1" applyAlignment="1">
      <alignment vertical="top"/>
    </xf>
    <xf numFmtId="169" fontId="9" fillId="8" borderId="0" xfId="0" applyNumberFormat="1" applyFont="1" applyFill="1" applyAlignment="1">
      <alignment horizontal="center"/>
    </xf>
    <xf numFmtId="0" fontId="0" fillId="0" borderId="0" xfId="0" quotePrefix="1" applyAlignment="1">
      <alignment horizontal="center"/>
    </xf>
    <xf numFmtId="0" fontId="0" fillId="0" borderId="0" xfId="0" quotePrefix="1"/>
    <xf numFmtId="170" fontId="18" fillId="0" borderId="1" xfId="12" applyNumberFormat="1" applyFont="1" applyFill="1" applyBorder="1"/>
    <xf numFmtId="170" fontId="14" fillId="0" borderId="0" xfId="12" applyNumberFormat="1" applyFont="1" applyFill="1" applyBorder="1" applyAlignment="1">
      <alignment horizontal="right"/>
    </xf>
    <xf numFmtId="43" fontId="0" fillId="0" borderId="0" xfId="0" applyNumberFormat="1"/>
    <xf numFmtId="0" fontId="9" fillId="4" borderId="0" xfId="0" applyFont="1" applyFill="1" applyAlignment="1">
      <alignment vertical="center"/>
    </xf>
    <xf numFmtId="0" fontId="9" fillId="4" borderId="0" xfId="0" applyFont="1" applyFill="1" applyAlignment="1">
      <alignment vertical="top"/>
    </xf>
    <xf numFmtId="173" fontId="0" fillId="0" borderId="0" xfId="0" applyNumberFormat="1" applyFont="1" applyAlignment="1">
      <alignment horizontal="left"/>
    </xf>
    <xf numFmtId="0" fontId="0" fillId="6" borderId="0" xfId="0" applyFont="1" applyFill="1"/>
    <xf numFmtId="0" fontId="0" fillId="0" borderId="0" xfId="0" applyFont="1" applyAlignment="1">
      <alignment horizontal="left"/>
    </xf>
    <xf numFmtId="165" fontId="0" fillId="0" borderId="0" xfId="0" applyNumberFormat="1" applyFont="1" applyAlignment="1">
      <alignment horizontal="left"/>
    </xf>
    <xf numFmtId="170" fontId="0" fillId="0" borderId="0" xfId="0" applyNumberFormat="1" applyFont="1"/>
    <xf numFmtId="2" fontId="0" fillId="0" borderId="0" xfId="0" applyNumberFormat="1" applyFont="1"/>
    <xf numFmtId="170" fontId="0" fillId="0" borderId="1" xfId="0" applyNumberFormat="1" applyFont="1" applyBorder="1"/>
    <xf numFmtId="166" fontId="0" fillId="0" borderId="0" xfId="0" applyNumberFormat="1" applyFont="1"/>
    <xf numFmtId="169" fontId="9" fillId="8" borderId="0" xfId="0" applyNumberFormat="1" applyFont="1" applyFill="1" applyAlignment="1">
      <alignment horizontal="center"/>
    </xf>
    <xf numFmtId="0" fontId="28" fillId="0" borderId="0" xfId="0" applyFont="1"/>
    <xf numFmtId="167" fontId="27" fillId="2" borderId="19" xfId="3" applyNumberFormat="1" applyFont="1" applyFill="1" applyBorder="1"/>
    <xf numFmtId="169" fontId="9" fillId="6" borderId="0" xfId="0" applyNumberFormat="1" applyFont="1" applyFill="1" applyAlignment="1">
      <alignment horizontal="center"/>
    </xf>
    <xf numFmtId="169" fontId="9" fillId="8" borderId="0" xfId="0" applyNumberFormat="1" applyFont="1" applyFill="1" applyAlignment="1">
      <alignment horizontal="right"/>
    </xf>
    <xf numFmtId="0" fontId="0" fillId="0" borderId="0" xfId="0" applyFont="1" applyAlignment="1">
      <alignment horizontal="right" vertical="center"/>
    </xf>
    <xf numFmtId="174" fontId="15" fillId="6" borderId="0" xfId="0" applyNumberFormat="1" applyFont="1" applyFill="1" applyBorder="1" applyAlignment="1">
      <alignment horizontal="right"/>
    </xf>
    <xf numFmtId="0" fontId="0" fillId="6" borderId="0" xfId="0" applyFill="1" applyBorder="1"/>
    <xf numFmtId="0" fontId="23" fillId="6" borderId="0" xfId="0" applyFont="1" applyFill="1" applyAlignment="1">
      <alignment horizontal="right" vertical="center"/>
    </xf>
    <xf numFmtId="171" fontId="23" fillId="6" borderId="0" xfId="0" applyNumberFormat="1" applyFont="1" applyFill="1" applyAlignment="1">
      <alignment horizontal="center" vertical="center"/>
    </xf>
    <xf numFmtId="0" fontId="23" fillId="6" borderId="0" xfId="0" applyFont="1" applyFill="1"/>
    <xf numFmtId="1" fontId="23" fillId="6" borderId="0" xfId="0" applyNumberFormat="1" applyFont="1" applyFill="1"/>
    <xf numFmtId="171" fontId="18" fillId="6" borderId="0" xfId="0" applyNumberFormat="1" applyFont="1" applyFill="1" applyBorder="1" applyAlignment="1"/>
    <xf numFmtId="170" fontId="14" fillId="0" borderId="1" xfId="12" applyNumberFormat="1" applyFont="1" applyFill="1" applyBorder="1"/>
    <xf numFmtId="169" fontId="9" fillId="8" borderId="0" xfId="0" applyNumberFormat="1" applyFont="1" applyFill="1" applyAlignment="1">
      <alignment horizontal="center"/>
    </xf>
    <xf numFmtId="165" fontId="29" fillId="2" borderId="18" xfId="1" applyNumberFormat="1" applyFont="1" applyFill="1" applyBorder="1"/>
    <xf numFmtId="176" fontId="30" fillId="0" borderId="0" xfId="0" applyNumberFormat="1" applyFont="1" applyAlignment="1">
      <alignment horizontal="left"/>
    </xf>
    <xf numFmtId="0" fontId="0" fillId="3" borderId="5" xfId="0" applyFill="1" applyBorder="1" applyAlignment="1">
      <alignment horizontal="left" wrapText="1"/>
    </xf>
    <xf numFmtId="0" fontId="0" fillId="3" borderId="0" xfId="0" applyFill="1" applyBorder="1" applyAlignment="1">
      <alignment horizontal="left" wrapText="1"/>
    </xf>
    <xf numFmtId="0" fontId="0" fillId="3" borderId="6" xfId="0" applyFill="1" applyBorder="1" applyAlignment="1">
      <alignment horizontal="left" wrapText="1"/>
    </xf>
    <xf numFmtId="0" fontId="0" fillId="3" borderId="7" xfId="0" applyFill="1" applyBorder="1" applyAlignment="1">
      <alignment horizontal="left" wrapText="1"/>
    </xf>
    <xf numFmtId="0" fontId="0" fillId="3" borderId="8" xfId="0" applyFill="1" applyBorder="1" applyAlignment="1">
      <alignment horizontal="left" wrapText="1"/>
    </xf>
    <xf numFmtId="0" fontId="0" fillId="3" borderId="9" xfId="0" applyFill="1" applyBorder="1" applyAlignment="1">
      <alignment horizontal="left" wrapText="1"/>
    </xf>
    <xf numFmtId="169" fontId="9" fillId="8" borderId="0" xfId="0" applyNumberFormat="1" applyFont="1" applyFill="1" applyAlignment="1">
      <alignment horizontal="center"/>
    </xf>
    <xf numFmtId="0" fontId="9" fillId="8" borderId="0" xfId="0" applyFont="1" applyFill="1" applyAlignment="1">
      <alignment horizontal="center"/>
    </xf>
    <xf numFmtId="0" fontId="18" fillId="3" borderId="5" xfId="0" applyFont="1" applyFill="1" applyBorder="1" applyAlignment="1">
      <alignment horizontal="left" vertical="top" wrapText="1"/>
    </xf>
    <xf numFmtId="0" fontId="18" fillId="3" borderId="0"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8" xfId="0" applyFont="1" applyFill="1" applyBorder="1" applyAlignment="1">
      <alignment horizontal="left" vertical="top" wrapText="1"/>
    </xf>
    <xf numFmtId="0" fontId="18" fillId="3" borderId="9" xfId="0" applyFont="1" applyFill="1" applyBorder="1" applyAlignment="1">
      <alignment horizontal="left" vertical="top" wrapText="1"/>
    </xf>
    <xf numFmtId="169" fontId="9" fillId="8" borderId="0" xfId="0" applyNumberFormat="1" applyFont="1" applyFill="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wrapText="1"/>
    </xf>
  </cellXfs>
  <cellStyles count="13">
    <cellStyle name="Comma" xfId="3" builtinId="3"/>
    <cellStyle name="Comma 2" xfId="5" xr:uid="{00000000-0005-0000-0000-000003000000}"/>
    <cellStyle name="Heading 1" xfId="7" builtinId="16" customBuiltin="1"/>
    <cellStyle name="Heading 1 2" xfId="10" xr:uid="{5106468F-5643-47FE-95AD-B0D5A27C1361}"/>
    <cellStyle name="Heading 2" xfId="8" builtinId="17" customBuiltin="1"/>
    <cellStyle name="Heading 2 2" xfId="11" xr:uid="{7B5AC7E0-17A8-492B-BB6F-9E11F13D0725}"/>
    <cellStyle name="Hyperlink" xfId="9" builtinId="8"/>
    <cellStyle name="Input" xfId="2" builtinId="20" customBuiltin="1"/>
    <cellStyle name="Input 2" xfId="12" xr:uid="{0C7C6B7C-6CF0-47C5-ABA9-4C8ACBC55CAD}"/>
    <cellStyle name="Normal" xfId="0" builtinId="0"/>
    <cellStyle name="Normal 3" xfId="4" xr:uid="{00000000-0005-0000-0000-000007000000}"/>
    <cellStyle name="Percent" xfId="1" builtinId="5"/>
    <cellStyle name="Percent 2" xfId="6" xr:uid="{00000000-0005-0000-0000-000009000000}"/>
  </cellStyles>
  <dxfs count="0"/>
  <tableStyles count="0" defaultTableStyle="TableStyleMedium2" defaultPivotStyle="PivotStyleLight16"/>
  <colors>
    <mruColors>
      <color rgb="FF8B634B"/>
      <color rgb="FFEDF7FF"/>
      <color rgb="FF002F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2161032</xdr:colOff>
      <xdr:row>13</xdr:row>
      <xdr:rowOff>44196</xdr:rowOff>
    </xdr:to>
    <xdr:pic>
      <xdr:nvPicPr>
        <xdr:cNvPr id="5" name="Picture 4">
          <a:extLst>
            <a:ext uri="{FF2B5EF4-FFF2-40B4-BE49-F238E27FC236}">
              <a16:creationId xmlns:a16="http://schemas.microsoft.com/office/drawing/2014/main" id="{EE67BC6F-73E2-45ED-9238-3851C98530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09875"/>
          <a:ext cx="2161032" cy="6156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123825</xdr:rowOff>
    </xdr:from>
    <xdr:to>
      <xdr:col>10</xdr:col>
      <xdr:colOff>0</xdr:colOff>
      <xdr:row>37</xdr:row>
      <xdr:rowOff>142875</xdr:rowOff>
    </xdr:to>
    <xdr:pic>
      <xdr:nvPicPr>
        <xdr:cNvPr id="3" name="Picture 2">
          <a:extLst>
            <a:ext uri="{FF2B5EF4-FFF2-40B4-BE49-F238E27FC236}">
              <a16:creationId xmlns:a16="http://schemas.microsoft.com/office/drawing/2014/main" id="{CB8C6BB1-ACDC-4922-8150-8E31CE2113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076825"/>
          <a:ext cx="6667500" cy="2305050"/>
        </a:xfrm>
        <a:prstGeom prst="rect">
          <a:avLst/>
        </a:prstGeom>
      </xdr:spPr>
    </xdr:pic>
    <xdr:clientData/>
  </xdr:twoCellAnchor>
  <xdr:twoCellAnchor editAs="oneCell">
    <xdr:from>
      <xdr:col>0</xdr:col>
      <xdr:colOff>581025</xdr:colOff>
      <xdr:row>0</xdr:row>
      <xdr:rowOff>0</xdr:rowOff>
    </xdr:from>
    <xdr:to>
      <xdr:col>3</xdr:col>
      <xdr:colOff>428625</xdr:colOff>
      <xdr:row>3</xdr:row>
      <xdr:rowOff>57165</xdr:rowOff>
    </xdr:to>
    <xdr:pic>
      <xdr:nvPicPr>
        <xdr:cNvPr id="4" name="Picture 3">
          <a:extLst>
            <a:ext uri="{FF2B5EF4-FFF2-40B4-BE49-F238E27FC236}">
              <a16:creationId xmlns:a16="http://schemas.microsoft.com/office/drawing/2014/main" id="{E3ACC47E-1FEA-4297-924F-E22980084B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0"/>
          <a:ext cx="2152650" cy="6286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eadenhall.com.au/leadenhall-team/"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rba.gov.au/statistics/tables/" TargetMode="External"/><Relationship Id="rId2" Type="http://schemas.openxmlformats.org/officeDocument/2006/relationships/hyperlink" Target="http://www.leadenhall.com.au/downloads/" TargetMode="External"/><Relationship Id="rId1" Type="http://schemas.openxmlformats.org/officeDocument/2006/relationships/hyperlink" Target="http://www.rba.gov.au/statistics/tabl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F6C"/>
  </sheetPr>
  <dimension ref="A1:B15"/>
  <sheetViews>
    <sheetView showGridLines="0" tabSelected="1" workbookViewId="0">
      <selection activeCell="A5" sqref="A5"/>
    </sheetView>
  </sheetViews>
  <sheetFormatPr defaultColWidth="0" defaultRowHeight="15" zeroHeight="1" x14ac:dyDescent="0.25"/>
  <cols>
    <col min="1" max="1" width="139" customWidth="1"/>
    <col min="2" max="2" width="10.7109375" hidden="1" customWidth="1"/>
    <col min="3" max="16384" width="9.140625" hidden="1"/>
  </cols>
  <sheetData>
    <row r="1" spans="1:1" ht="21" x14ac:dyDescent="0.35">
      <c r="A1" s="4" t="s">
        <v>0</v>
      </c>
    </row>
    <row r="2" spans="1:1" x14ac:dyDescent="0.25">
      <c r="A2" t="s">
        <v>200</v>
      </c>
    </row>
    <row r="3" spans="1:1" x14ac:dyDescent="0.25">
      <c r="A3" t="s">
        <v>3</v>
      </c>
    </row>
    <row r="4" spans="1:1" x14ac:dyDescent="0.25">
      <c r="A4" t="s">
        <v>2</v>
      </c>
    </row>
    <row r="5" spans="1:1" x14ac:dyDescent="0.25"/>
    <row r="6" spans="1:1" ht="17.25" x14ac:dyDescent="0.3">
      <c r="A6" s="3" t="s">
        <v>1</v>
      </c>
    </row>
    <row r="7" spans="1:1" x14ac:dyDescent="0.25">
      <c r="A7" s="2" t="s">
        <v>190</v>
      </c>
    </row>
    <row r="8" spans="1:1" x14ac:dyDescent="0.25">
      <c r="A8" s="1"/>
    </row>
    <row r="9" spans="1:1" x14ac:dyDescent="0.25">
      <c r="A9" s="16" t="s">
        <v>7</v>
      </c>
    </row>
    <row r="10" spans="1:1" x14ac:dyDescent="0.25"/>
    <row r="11" spans="1:1" x14ac:dyDescent="0.25"/>
    <row r="12" spans="1:1" x14ac:dyDescent="0.25"/>
    <row r="13" spans="1:1" x14ac:dyDescent="0.25"/>
    <row r="14" spans="1:1" x14ac:dyDescent="0.25"/>
    <row r="15" spans="1:1" x14ac:dyDescent="0.25">
      <c r="A15" s="159">
        <v>43921</v>
      </c>
    </row>
  </sheetData>
  <hyperlinks>
    <hyperlink ref="A9" r:id="rId1" xr:uid="{A68BFB83-66B0-4E9D-9950-48FD774E24A8}"/>
  </hyperlinks>
  <pageMargins left="0.7" right="0.7" top="0.75" bottom="0.75" header="0.3" footer="0.3"/>
  <pageSetup paperSize="9" orientation="landscape" r:id="rId2"/>
  <headerFooter>
    <oddHeader>&amp;R&amp;G</oddHeader>
    <oddFooter>&amp;R&amp;9Page &amp;P of &amp;N</oddFoot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09347-FF61-40C8-825F-48268113D5F7}">
  <sheetPr codeName="Sheet8">
    <tabColor rgb="FF8B634B"/>
  </sheetPr>
  <dimension ref="A1:U158"/>
  <sheetViews>
    <sheetView showGridLines="0" workbookViewId="0">
      <selection activeCell="A3" sqref="A3"/>
    </sheetView>
  </sheetViews>
  <sheetFormatPr defaultColWidth="0" defaultRowHeight="15" customHeight="1" zeroHeight="1" outlineLevelRow="1" outlineLevelCol="1" x14ac:dyDescent="0.25"/>
  <cols>
    <col min="1" max="1" width="32.85546875" customWidth="1"/>
    <col min="2" max="5" width="3.7109375" hidden="1" customWidth="1" outlineLevel="1"/>
    <col min="6" max="6" width="8.42578125" customWidth="1" collapsed="1"/>
    <col min="7" max="11" width="8.42578125" customWidth="1"/>
    <col min="12" max="21" width="0" hidden="1" customWidth="1"/>
    <col min="22" max="16384" width="9.140625" hidden="1"/>
  </cols>
  <sheetData>
    <row r="1" spans="1:11" x14ac:dyDescent="0.25">
      <c r="A1" s="17" t="str">
        <f>Scope&amp;Subject</f>
        <v>Limited Scope Impairment Analysis of Subject Pty Limited</v>
      </c>
      <c r="B1" s="17"/>
      <c r="C1" s="17"/>
      <c r="D1" s="17"/>
      <c r="E1" s="17"/>
    </row>
    <row r="2" spans="1:11" ht="21" x14ac:dyDescent="0.35">
      <c r="A2" s="4" t="str">
        <f ca="1">MID(CELL("Filename",A1),FIND("]",CELL("Filename",A1))+1,255)</f>
        <v>Fair Value</v>
      </c>
      <c r="B2" s="4"/>
      <c r="C2" s="4"/>
      <c r="D2" s="4"/>
      <c r="E2" s="4"/>
    </row>
    <row r="3" spans="1:11" x14ac:dyDescent="0.25"/>
    <row r="4" spans="1:11" x14ac:dyDescent="0.25">
      <c r="A4" s="1" t="str">
        <f>Units</f>
        <v>$'000</v>
      </c>
      <c r="B4" s="1"/>
      <c r="C4" s="1"/>
      <c r="D4" s="1"/>
      <c r="E4" s="1"/>
      <c r="F4" s="19">
        <f>EOMONTH(Last_YE,12)</f>
        <v>44377</v>
      </c>
      <c r="G4" s="19">
        <f>EOMONTH(F4,12)</f>
        <v>44742</v>
      </c>
      <c r="H4" s="19">
        <f>EOMONTH(G4,12)</f>
        <v>45107</v>
      </c>
      <c r="I4" s="19">
        <f>EOMONTH(H4,12)</f>
        <v>45473</v>
      </c>
      <c r="J4" s="19">
        <f>EOMONTH(I4,12)</f>
        <v>45838</v>
      </c>
      <c r="K4" s="87" t="s">
        <v>170</v>
      </c>
    </row>
    <row r="5" spans="1:11" x14ac:dyDescent="0.25"/>
    <row r="6" spans="1:11" x14ac:dyDescent="0.25">
      <c r="A6" s="134" t="s">
        <v>246</v>
      </c>
      <c r="B6" s="134"/>
      <c r="C6" s="134"/>
      <c r="D6" s="134"/>
      <c r="E6" s="134"/>
      <c r="F6" s="134"/>
      <c r="G6" s="134"/>
      <c r="H6" s="134"/>
      <c r="I6" s="134"/>
      <c r="J6" s="134"/>
      <c r="K6" s="134"/>
    </row>
    <row r="7" spans="1:11" x14ac:dyDescent="0.25"/>
    <row r="8" spans="1:11" x14ac:dyDescent="0.25">
      <c r="A8" t="s">
        <v>90</v>
      </c>
      <c r="F8" s="50">
        <f>'Income Statement'!F39</f>
        <v>34.475249999999981</v>
      </c>
      <c r="G8" s="50">
        <f>'Income Statement'!G39</f>
        <v>48.112250000000031</v>
      </c>
      <c r="H8" s="50">
        <f>'Income Statement'!H39</f>
        <v>63.010490625000017</v>
      </c>
      <c r="I8" s="50">
        <f>'Income Statement'!I39</f>
        <v>75.810586328125041</v>
      </c>
      <c r="J8" s="50">
        <f>'Income Statement'!J39</f>
        <v>82.682976595703138</v>
      </c>
      <c r="K8" s="50"/>
    </row>
    <row r="9" spans="1:11" x14ac:dyDescent="0.25">
      <c r="A9" t="s">
        <v>165</v>
      </c>
      <c r="F9" s="54">
        <f>F8*-'Data and assumptions'!F113</f>
        <v>-12.066337499999992</v>
      </c>
      <c r="G9" s="54">
        <f>G8*-'Data and assumptions'!G113</f>
        <v>-16.839287500000008</v>
      </c>
      <c r="H9" s="54">
        <f>H8*-'Data and assumptions'!H113</f>
        <v>-22.053671718750003</v>
      </c>
      <c r="I9" s="54">
        <f>I8*-'Data and assumptions'!I113</f>
        <v>-26.533705214843764</v>
      </c>
      <c r="J9" s="54">
        <f>J8*-'Data and assumptions'!J113</f>
        <v>-28.939041808496096</v>
      </c>
      <c r="K9" s="50"/>
    </row>
    <row r="10" spans="1:11" x14ac:dyDescent="0.25">
      <c r="A10" s="1" t="s">
        <v>157</v>
      </c>
      <c r="B10" s="1"/>
      <c r="C10" s="1"/>
      <c r="D10" s="1"/>
      <c r="E10" s="1"/>
      <c r="F10" s="64">
        <f>SUM(F8:F9)</f>
        <v>22.408912499999989</v>
      </c>
      <c r="G10" s="64">
        <f t="shared" ref="G10:J10" si="0">SUM(G8:G9)</f>
        <v>31.272962500000023</v>
      </c>
      <c r="H10" s="64">
        <f t="shared" si="0"/>
        <v>40.956818906250014</v>
      </c>
      <c r="I10" s="64">
        <f t="shared" si="0"/>
        <v>49.276881113281277</v>
      </c>
      <c r="J10" s="64">
        <f t="shared" si="0"/>
        <v>53.743934787207039</v>
      </c>
      <c r="K10" s="50"/>
    </row>
    <row r="11" spans="1:11" x14ac:dyDescent="0.25">
      <c r="A11" t="s">
        <v>158</v>
      </c>
      <c r="F11" s="50">
        <f>'Income Statement'!F37+'Income Statement'!F38</f>
        <v>19.25</v>
      </c>
      <c r="G11" s="50">
        <f>'Income Statement'!G37+'Income Statement'!G38</f>
        <v>18.162499999999998</v>
      </c>
      <c r="H11" s="50">
        <f>'Income Statement'!H37+'Income Statement'!H38</f>
        <v>17.238125</v>
      </c>
      <c r="I11" s="50">
        <f>'Income Statement'!I37+'Income Statement'!I38</f>
        <v>16.602406250000001</v>
      </c>
      <c r="J11" s="50">
        <f>'Income Statement'!J37+'Income Statement'!J38</f>
        <v>16.0620453125</v>
      </c>
      <c r="K11" s="50"/>
    </row>
    <row r="12" spans="1:11" x14ac:dyDescent="0.25">
      <c r="A12" t="s">
        <v>159</v>
      </c>
      <c r="F12" s="50">
        <f>Cashflow!F11+Cashflow!F12</f>
        <v>-20</v>
      </c>
      <c r="G12" s="50">
        <f>Cashflow!G11+Cashflow!G12</f>
        <v>-10</v>
      </c>
      <c r="H12" s="50">
        <f>Cashflow!H11+Cashflow!H12</f>
        <v>-11</v>
      </c>
      <c r="I12" s="50">
        <f>Cashflow!I11+Cashflow!I12</f>
        <v>-11</v>
      </c>
      <c r="J12" s="50">
        <f>Cashflow!J11+Cashflow!J12</f>
        <v>-11</v>
      </c>
      <c r="K12" s="50"/>
    </row>
    <row r="13" spans="1:11" x14ac:dyDescent="0.25">
      <c r="A13" t="s">
        <v>127</v>
      </c>
      <c r="F13" s="50">
        <f>Cashflow!F7</f>
        <v>0.24519178082191218</v>
      </c>
      <c r="G13" s="50">
        <f>Cashflow!G7</f>
        <v>-1.447876712328771</v>
      </c>
      <c r="H13" s="50">
        <f>Cashflow!H7</f>
        <v>-1.0525966609588906</v>
      </c>
      <c r="I13" s="50">
        <f>Cashflow!I7</f>
        <v>-2.0248385338185031</v>
      </c>
      <c r="J13" s="50">
        <f>Cashflow!J7</f>
        <v>-1.3708559969498992</v>
      </c>
      <c r="K13" s="50"/>
    </row>
    <row r="14" spans="1:11" x14ac:dyDescent="0.25">
      <c r="A14" t="s">
        <v>128</v>
      </c>
      <c r="F14" s="50">
        <f>Cashflow!F8</f>
        <v>1.425510204081637</v>
      </c>
      <c r="G14" s="50">
        <f>Cashflow!G8</f>
        <v>1.1392857142857169</v>
      </c>
      <c r="H14" s="50">
        <f>Cashflow!H8</f>
        <v>0.79873469387755192</v>
      </c>
      <c r="I14" s="50">
        <f>Cashflow!I8</f>
        <v>1.3036403061224484</v>
      </c>
      <c r="J14" s="50">
        <f>Cashflow!J8</f>
        <v>0.88196119897959235</v>
      </c>
      <c r="K14" s="50"/>
    </row>
    <row r="15" spans="1:11" x14ac:dyDescent="0.25">
      <c r="A15" s="1" t="s">
        <v>160</v>
      </c>
      <c r="B15" s="1"/>
      <c r="C15" s="1"/>
      <c r="D15" s="1"/>
      <c r="E15" s="1"/>
      <c r="F15" s="70">
        <f>SUM(F10:F14)</f>
        <v>23.329614484903534</v>
      </c>
      <c r="G15" s="70">
        <f t="shared" ref="G15:J15" si="1">SUM(G10:G14)</f>
        <v>39.12687150195697</v>
      </c>
      <c r="H15" s="70">
        <f t="shared" si="1"/>
        <v>46.941081939168676</v>
      </c>
      <c r="I15" s="70">
        <f t="shared" si="1"/>
        <v>54.158089135585222</v>
      </c>
      <c r="J15" s="70">
        <f t="shared" si="1"/>
        <v>58.317085301736739</v>
      </c>
      <c r="K15" s="50"/>
    </row>
    <row r="16" spans="1:11" ht="15" customHeight="1" x14ac:dyDescent="0.25">
      <c r="A16" t="s">
        <v>161</v>
      </c>
      <c r="F16" s="89">
        <f>(Background!$B7&lt;=F4)*(MIN(YEARFRAC(Background!$B7,F4),1))</f>
        <v>1</v>
      </c>
      <c r="G16" s="89">
        <f>(Background!$B7&lt;=G4)*(MIN(YEARFRAC(Background!$B7,G4),1))</f>
        <v>1</v>
      </c>
      <c r="H16" s="89">
        <f>(Background!$B7&lt;=H4)*(MIN(YEARFRAC(Background!$B7,H4),1))</f>
        <v>1</v>
      </c>
      <c r="I16" s="89">
        <f>(Background!$B7&lt;=I4)*(MIN(YEARFRAC(Background!$B7,I4),1))</f>
        <v>1</v>
      </c>
      <c r="J16" s="89">
        <f>(Background!$B7&lt;=J4)*(MIN(YEARFRAC(Background!$B7,J4),1))</f>
        <v>1</v>
      </c>
      <c r="K16" s="50"/>
    </row>
    <row r="17" spans="1:11" ht="15" customHeight="1" thickBot="1" x14ac:dyDescent="0.3">
      <c r="A17" t="s">
        <v>162</v>
      </c>
      <c r="F17" s="68">
        <f>F15*F16</f>
        <v>23.329614484903534</v>
      </c>
      <c r="G17" s="68">
        <f>G15*G16</f>
        <v>39.12687150195697</v>
      </c>
      <c r="H17" s="68">
        <f t="shared" ref="H17:J17" si="2">H15*H16</f>
        <v>46.941081939168676</v>
      </c>
      <c r="I17" s="68">
        <f t="shared" si="2"/>
        <v>54.158089135585222</v>
      </c>
      <c r="J17" s="68">
        <f t="shared" si="2"/>
        <v>58.317085301736739</v>
      </c>
    </row>
    <row r="18" spans="1:11" ht="15" customHeight="1" x14ac:dyDescent="0.25"/>
    <row r="19" spans="1:11" ht="15" customHeight="1" x14ac:dyDescent="0.25">
      <c r="A19" t="s">
        <v>163</v>
      </c>
      <c r="F19" t="str">
        <f>'Data and assumptions'!B154</f>
        <v>End of period</v>
      </c>
    </row>
    <row r="20" spans="1:11" ht="15" customHeight="1" x14ac:dyDescent="0.25">
      <c r="A20" t="s">
        <v>164</v>
      </c>
      <c r="F20" s="86">
        <f>'Data and assumptions'!B155</f>
        <v>2.5000000000000001E-2</v>
      </c>
    </row>
    <row r="21" spans="1:11" ht="15" customHeight="1" x14ac:dyDescent="0.25"/>
    <row r="22" spans="1:11" ht="15" customHeight="1" x14ac:dyDescent="0.25">
      <c r="A22" s="1" t="s">
        <v>168</v>
      </c>
      <c r="B22" s="1"/>
      <c r="C22" s="1"/>
      <c r="D22" s="1"/>
      <c r="E22" s="1"/>
    </row>
    <row r="23" spans="1:11" ht="15" customHeight="1" x14ac:dyDescent="0.25">
      <c r="A23" t="s">
        <v>169</v>
      </c>
      <c r="F23" s="50">
        <f>F17</f>
        <v>23.329614484903534</v>
      </c>
      <c r="G23" s="50">
        <f>G17</f>
        <v>39.12687150195697</v>
      </c>
      <c r="H23" s="50">
        <f t="shared" ref="H23:J23" si="3">H17</f>
        <v>46.941081939168676</v>
      </c>
      <c r="I23" s="50">
        <f t="shared" si="3"/>
        <v>54.158089135585222</v>
      </c>
      <c r="J23" s="50">
        <f t="shared" si="3"/>
        <v>58.317085301736739</v>
      </c>
      <c r="K23" s="23">
        <f>J23*(1+F20)/('Discount Rate'!B19-'Fair Value'!F20)</f>
        <v>919.61557591200233</v>
      </c>
    </row>
    <row r="24" spans="1:11" ht="15" customHeight="1" x14ac:dyDescent="0.25">
      <c r="A24" s="88">
        <f>'Discount Rate'!B19</f>
        <v>0.09</v>
      </c>
      <c r="B24" s="88"/>
      <c r="C24" s="88"/>
      <c r="D24" s="88"/>
      <c r="E24" s="88"/>
      <c r="F24" s="89">
        <f>1/(1+$A24)^F60</f>
        <v>0.9174311926605504</v>
      </c>
      <c r="G24" s="89">
        <f>1/(1+$A24)^G60</f>
        <v>0.84167999326655996</v>
      </c>
      <c r="H24" s="89">
        <f>1/(1+$A24)^H60</f>
        <v>0.77218348006106419</v>
      </c>
      <c r="I24" s="89">
        <f>1/(1+$A24)^I60</f>
        <v>0.7084252110651964</v>
      </c>
      <c r="J24" s="89">
        <f>1/(1+$A24)^J60</f>
        <v>0.64993138629834524</v>
      </c>
      <c r="K24" s="89">
        <f>J24</f>
        <v>0.64993138629834524</v>
      </c>
    </row>
    <row r="25" spans="1:11" ht="15" customHeight="1" x14ac:dyDescent="0.25">
      <c r="A25" s="1" t="s">
        <v>172</v>
      </c>
      <c r="B25" s="1"/>
      <c r="C25" s="1"/>
      <c r="D25" s="1"/>
      <c r="E25" s="1"/>
      <c r="F25" s="90">
        <f>F23*F24</f>
        <v>21.4033160411959</v>
      </c>
      <c r="G25" s="90">
        <f t="shared" ref="G25:K25" si="4">G23*G24</f>
        <v>32.932304942308697</v>
      </c>
      <c r="H25" s="90">
        <f t="shared" si="4"/>
        <v>36.247128009618834</v>
      </c>
      <c r="I25" s="90">
        <f t="shared" si="4"/>
        <v>38.366955726764679</v>
      </c>
      <c r="J25" s="90">
        <f t="shared" si="4"/>
        <v>37.902104095036613</v>
      </c>
      <c r="K25" s="90">
        <f t="shared" si="4"/>
        <v>597.68702611403876</v>
      </c>
    </row>
    <row r="26" spans="1:11" ht="15" customHeight="1" thickBot="1" x14ac:dyDescent="0.3">
      <c r="A26" s="1" t="s">
        <v>173</v>
      </c>
      <c r="B26" s="1"/>
      <c r="C26" s="1"/>
      <c r="D26" s="1"/>
      <c r="E26" s="1"/>
      <c r="F26" s="84">
        <f>SUM(F25:K25)</f>
        <v>764.53883492896352</v>
      </c>
    </row>
    <row r="27" spans="1:11" ht="15" customHeight="1" x14ac:dyDescent="0.25"/>
    <row r="28" spans="1:11" ht="15" customHeight="1" x14ac:dyDescent="0.25">
      <c r="A28" s="1" t="s">
        <v>177</v>
      </c>
      <c r="B28" s="1"/>
      <c r="C28" s="1"/>
      <c r="D28" s="1"/>
      <c r="E28" s="1"/>
    </row>
    <row r="29" spans="1:11" ht="15" customHeight="1" x14ac:dyDescent="0.25">
      <c r="A29" t="s">
        <v>169</v>
      </c>
      <c r="F29" s="50">
        <f>F17</f>
        <v>23.329614484903534</v>
      </c>
      <c r="G29" s="50">
        <f t="shared" ref="G29:J29" si="5">G17</f>
        <v>39.12687150195697</v>
      </c>
      <c r="H29" s="50">
        <f t="shared" si="5"/>
        <v>46.941081939168676</v>
      </c>
      <c r="I29" s="50">
        <f t="shared" si="5"/>
        <v>54.158089135585222</v>
      </c>
      <c r="J29" s="50">
        <f t="shared" si="5"/>
        <v>58.317085301736739</v>
      </c>
      <c r="K29" s="23">
        <f>J29*(1+F20)/('Discount Rate'!C19-'Fair Value'!F20)</f>
        <v>703.23544040329591</v>
      </c>
    </row>
    <row r="30" spans="1:11" ht="15" customHeight="1" x14ac:dyDescent="0.25">
      <c r="A30" s="88">
        <f>'Discount Rate'!C19</f>
        <v>0.11</v>
      </c>
      <c r="B30" s="88"/>
      <c r="C30" s="88"/>
      <c r="D30" s="88"/>
      <c r="E30" s="88"/>
      <c r="F30" s="89">
        <f>1/(1+$A30)^F60</f>
        <v>0.9009009009009008</v>
      </c>
      <c r="G30" s="89">
        <f>1/(1+$A30)^G60</f>
        <v>0.8116224332440547</v>
      </c>
      <c r="H30" s="89">
        <f>1/(1+$A30)^H60</f>
        <v>0.73119138130095018</v>
      </c>
      <c r="I30" s="89">
        <f>1/(1+$A30)^I60</f>
        <v>0.65873097414500015</v>
      </c>
      <c r="J30" s="89">
        <f>1/(1+$A30)^J60</f>
        <v>0.5934513280585586</v>
      </c>
      <c r="K30" s="89">
        <f>J30</f>
        <v>0.5934513280585586</v>
      </c>
    </row>
    <row r="31" spans="1:11" ht="15" customHeight="1" x14ac:dyDescent="0.25">
      <c r="A31" s="1" t="s">
        <v>172</v>
      </c>
      <c r="B31" s="1"/>
      <c r="C31" s="1"/>
      <c r="D31" s="1"/>
      <c r="E31" s="1"/>
      <c r="F31" s="90">
        <f>F29*F30</f>
        <v>21.017670707120299</v>
      </c>
      <c r="G31" s="90">
        <f t="shared" ref="G31" si="6">G29*G30</f>
        <v>31.756246653645778</v>
      </c>
      <c r="H31" s="90">
        <f t="shared" ref="H31" si="7">H29*H30</f>
        <v>34.322914542861831</v>
      </c>
      <c r="I31" s="90">
        <f t="shared" ref="I31" si="8">I29*I30</f>
        <v>35.675610814115799</v>
      </c>
      <c r="J31" s="90">
        <f t="shared" ref="J31" si="9">J29*J30</f>
        <v>34.608351720819918</v>
      </c>
      <c r="K31" s="90">
        <f t="shared" ref="K31" si="10">K29*K30</f>
        <v>417.33600604518131</v>
      </c>
    </row>
    <row r="32" spans="1:11" ht="15" customHeight="1" thickBot="1" x14ac:dyDescent="0.3">
      <c r="A32" s="1" t="s">
        <v>173</v>
      </c>
      <c r="B32" s="1"/>
      <c r="C32" s="1"/>
      <c r="D32" s="1"/>
      <c r="E32" s="1"/>
      <c r="F32" s="84">
        <f>SUM(F31:K31)</f>
        <v>574.71680048374492</v>
      </c>
    </row>
    <row r="33" spans="1:11" ht="15" customHeight="1" x14ac:dyDescent="0.25">
      <c r="F33" s="92"/>
    </row>
    <row r="34" spans="1:11" ht="15" customHeight="1" x14ac:dyDescent="0.25">
      <c r="A34" s="109"/>
      <c r="F34" s="119" t="s">
        <v>136</v>
      </c>
      <c r="G34" s="119" t="s">
        <v>137</v>
      </c>
    </row>
    <row r="35" spans="1:11" ht="15" customHeight="1" x14ac:dyDescent="0.25">
      <c r="A35" s="120" t="s">
        <v>173</v>
      </c>
      <c r="F35" s="65">
        <f>F32</f>
        <v>574.71680048374492</v>
      </c>
      <c r="G35" s="65">
        <f>F26</f>
        <v>764.53883492896352</v>
      </c>
    </row>
    <row r="36" spans="1:11" ht="15" customHeight="1" x14ac:dyDescent="0.25">
      <c r="A36" t="s">
        <v>178</v>
      </c>
      <c r="F36" s="112">
        <f>'Data and assumptions'!D173</f>
        <v>15</v>
      </c>
      <c r="G36" s="112">
        <f>'Data and assumptions'!E173</f>
        <v>40</v>
      </c>
    </row>
    <row r="37" spans="1:11" ht="15" customHeight="1" x14ac:dyDescent="0.25">
      <c r="A37" t="s">
        <v>77</v>
      </c>
      <c r="F37" s="112">
        <f>'Data and assumptions'!D163</f>
        <v>-73</v>
      </c>
      <c r="G37" s="112">
        <f>'Data and assumptions'!E163</f>
        <v>-63</v>
      </c>
    </row>
    <row r="38" spans="1:11" ht="15" customHeight="1" thickBot="1" x14ac:dyDescent="0.3">
      <c r="A38" s="121" t="s">
        <v>179</v>
      </c>
      <c r="F38" s="122">
        <f>+F35+SUM(F36:F37)</f>
        <v>516.71680048374492</v>
      </c>
      <c r="G38" s="122">
        <f>+G35+SUM(G36:G37)</f>
        <v>741.53883492896352</v>
      </c>
    </row>
    <row r="39" spans="1:11" ht="15" customHeight="1" x14ac:dyDescent="0.25"/>
    <row r="40" spans="1:11" ht="15" customHeight="1" x14ac:dyDescent="0.25">
      <c r="A40" s="134" t="s">
        <v>234</v>
      </c>
      <c r="B40" s="134"/>
      <c r="C40" s="134"/>
      <c r="D40" s="134"/>
      <c r="E40" s="134"/>
      <c r="F40" s="134"/>
      <c r="G40" s="134"/>
      <c r="H40" s="134"/>
      <c r="I40" s="134"/>
      <c r="J40" s="134"/>
      <c r="K40" s="134"/>
    </row>
    <row r="41" spans="1:11" ht="15" customHeight="1" x14ac:dyDescent="0.25"/>
    <row r="42" spans="1:11" ht="15" customHeight="1" x14ac:dyDescent="0.25">
      <c r="A42" t="s">
        <v>250</v>
      </c>
    </row>
    <row r="43" spans="1:11" ht="15" customHeight="1" x14ac:dyDescent="0.25"/>
    <row r="44" spans="1:11" ht="15" customHeight="1" x14ac:dyDescent="0.25">
      <c r="F44" s="166">
        <f>EOMONTH(H44,-12)</f>
        <v>44012</v>
      </c>
      <c r="G44" s="167"/>
      <c r="H44" s="166">
        <f>F4</f>
        <v>44377</v>
      </c>
      <c r="I44" s="167"/>
      <c r="J44" s="166">
        <f>EOMONTH(H44,12)</f>
        <v>44742</v>
      </c>
      <c r="K44" s="167"/>
    </row>
    <row r="45" spans="1:11" ht="15" customHeight="1" x14ac:dyDescent="0.25">
      <c r="B45" s="123"/>
      <c r="C45" s="123"/>
      <c r="D45" s="123"/>
      <c r="E45" s="124"/>
      <c r="F45" s="147" t="s">
        <v>136</v>
      </c>
      <c r="G45" s="147" t="s">
        <v>137</v>
      </c>
      <c r="H45" s="147" t="s">
        <v>136</v>
      </c>
      <c r="I45" s="147" t="s">
        <v>137</v>
      </c>
      <c r="J45" s="147" t="s">
        <v>136</v>
      </c>
      <c r="K45" s="147" t="s">
        <v>137</v>
      </c>
    </row>
    <row r="46" spans="1:11" ht="15" hidden="1" customHeight="1" outlineLevel="1" x14ac:dyDescent="0.25">
      <c r="A46" s="151" t="s">
        <v>48</v>
      </c>
      <c r="B46" s="152"/>
      <c r="C46" s="152"/>
      <c r="D46" s="152"/>
      <c r="E46" s="153"/>
      <c r="F46" s="153">
        <f>'Income Statement'!E34</f>
        <v>45</v>
      </c>
      <c r="G46" s="153">
        <f>F46</f>
        <v>45</v>
      </c>
      <c r="H46" s="154">
        <f>'Income Statement'!F34</f>
        <v>53.725249999999981</v>
      </c>
      <c r="I46" s="154">
        <f>H46</f>
        <v>53.725249999999981</v>
      </c>
      <c r="J46" s="154">
        <f>'Income Statement'!G34</f>
        <v>66.274750000000026</v>
      </c>
      <c r="K46" s="154">
        <f>J46</f>
        <v>66.274750000000026</v>
      </c>
    </row>
    <row r="47" spans="1:11" ht="15" hidden="1" customHeight="1" outlineLevel="1" x14ac:dyDescent="0.25">
      <c r="A47" s="151" t="s">
        <v>247</v>
      </c>
      <c r="B47" s="152"/>
      <c r="C47" s="152"/>
      <c r="D47" s="152"/>
      <c r="E47" s="153"/>
      <c r="F47" s="153">
        <f>'Income Statement'!E34-'Income Statement'!E37</f>
        <v>36</v>
      </c>
      <c r="G47" s="153">
        <f>F47</f>
        <v>36</v>
      </c>
      <c r="H47" s="154">
        <f>'Income Statement'!F34-'Income Statement'!F37</f>
        <v>36.475249999999981</v>
      </c>
      <c r="I47" s="154">
        <f>H47</f>
        <v>36.475249999999981</v>
      </c>
      <c r="J47" s="154">
        <f>'Income Statement'!G34-'Income Statement'!G37</f>
        <v>50.112250000000031</v>
      </c>
      <c r="K47" s="154">
        <f>J47</f>
        <v>50.112250000000031</v>
      </c>
    </row>
    <row r="48" spans="1:11" ht="15" hidden="1" customHeight="1" outlineLevel="1" x14ac:dyDescent="0.25">
      <c r="A48" s="151" t="s">
        <v>90</v>
      </c>
      <c r="B48" s="153"/>
      <c r="C48" s="153"/>
      <c r="D48" s="153"/>
      <c r="E48" s="153"/>
      <c r="F48" s="153">
        <f>'Income Statement'!E39</f>
        <v>34</v>
      </c>
      <c r="G48" s="153">
        <f>F48</f>
        <v>34</v>
      </c>
      <c r="H48" s="154">
        <f>'Income Statement'!F39</f>
        <v>34.475249999999981</v>
      </c>
      <c r="I48" s="154">
        <f>H48</f>
        <v>34.475249999999981</v>
      </c>
      <c r="J48" s="154">
        <f>'Income Statement'!G39</f>
        <v>48.112250000000031</v>
      </c>
      <c r="K48" s="154">
        <f>J48</f>
        <v>48.112250000000031</v>
      </c>
    </row>
    <row r="49" spans="1:11" ht="15" hidden="1" customHeight="1" outlineLevel="1" x14ac:dyDescent="0.25">
      <c r="A49" s="151" t="s">
        <v>249</v>
      </c>
      <c r="B49" s="153"/>
      <c r="C49" s="153"/>
      <c r="D49" s="153"/>
      <c r="E49" s="153"/>
      <c r="F49" s="153">
        <f>'Income Statement'!E46</f>
        <v>18</v>
      </c>
      <c r="G49" s="153">
        <f>F49</f>
        <v>18</v>
      </c>
      <c r="H49" s="154">
        <f>'Income Statement'!F46</f>
        <v>18.33991249999999</v>
      </c>
      <c r="I49" s="154">
        <f>H49</f>
        <v>18.33991249999999</v>
      </c>
      <c r="J49" s="154">
        <f>'Income Statement'!G46</f>
        <v>27.761814765957176</v>
      </c>
      <c r="K49" s="154">
        <f>J49</f>
        <v>27.761814765957176</v>
      </c>
    </row>
    <row r="50" spans="1:11" ht="6" customHeight="1" collapsed="1" x14ac:dyDescent="0.25">
      <c r="A50" s="148"/>
      <c r="F50" s="125"/>
      <c r="G50" s="125"/>
      <c r="H50" s="125"/>
      <c r="I50" s="125"/>
      <c r="J50" s="125"/>
      <c r="K50" s="125"/>
    </row>
    <row r="51" spans="1:11" ht="15" customHeight="1" x14ac:dyDescent="0.25">
      <c r="A51" s="148" t="s">
        <v>48</v>
      </c>
      <c r="F51" s="155">
        <f>$F$32/F46</f>
        <v>12.771484455194331</v>
      </c>
      <c r="G51" s="155">
        <f>$F$26/G46</f>
        <v>16.989751887310302</v>
      </c>
      <c r="H51" s="155">
        <f>$F$32/H46</f>
        <v>10.69733133831383</v>
      </c>
      <c r="I51" s="155">
        <f>$F$26/I46</f>
        <v>14.230530987365603</v>
      </c>
      <c r="J51" s="155">
        <f>$F$32/J46</f>
        <v>8.671730945552337</v>
      </c>
      <c r="K51" s="155">
        <f>$F$26/K46</f>
        <v>11.535899191305335</v>
      </c>
    </row>
    <row r="52" spans="1:11" ht="15" hidden="1" customHeight="1" x14ac:dyDescent="0.25">
      <c r="A52" s="148" t="s">
        <v>247</v>
      </c>
      <c r="F52" s="155">
        <f>$F$32/F47</f>
        <v>15.964355568992914</v>
      </c>
      <c r="G52" s="155">
        <f>$F$26/G47</f>
        <v>21.237189859137874</v>
      </c>
      <c r="H52" s="155">
        <f>$F$32/H47</f>
        <v>15.756349866930185</v>
      </c>
      <c r="I52" s="155">
        <f>$F$26/I47</f>
        <v>20.960482379941574</v>
      </c>
      <c r="J52" s="155">
        <f>$F$32/J47</f>
        <v>11.468589027308584</v>
      </c>
      <c r="K52" s="155">
        <f>$F$26/K47</f>
        <v>15.256525798162386</v>
      </c>
    </row>
    <row r="53" spans="1:11" ht="15" customHeight="1" x14ac:dyDescent="0.25">
      <c r="A53" s="148" t="s">
        <v>90</v>
      </c>
      <c r="F53" s="155">
        <f>$F$32/F48</f>
        <v>16.90343530834544</v>
      </c>
      <c r="G53" s="155">
        <f>$F$26/G48</f>
        <v>22.486436321440102</v>
      </c>
      <c r="H53" s="155">
        <f>$F$32/H48</f>
        <v>16.670417197373339</v>
      </c>
      <c r="I53" s="155">
        <f>$F$26/I48</f>
        <v>22.176455136045828</v>
      </c>
      <c r="J53" s="155">
        <f>$F$32/J48</f>
        <v>11.945332020093522</v>
      </c>
      <c r="K53" s="155">
        <f>$F$26/K48</f>
        <v>15.890731257194645</v>
      </c>
    </row>
    <row r="54" spans="1:11" ht="15" hidden="1" customHeight="1" x14ac:dyDescent="0.25">
      <c r="A54" s="148" t="s">
        <v>248</v>
      </c>
      <c r="F54" s="155">
        <f>$F$32/F49</f>
        <v>31.928711137985829</v>
      </c>
      <c r="G54" s="155">
        <f>$F$26/G49</f>
        <v>42.474379718275749</v>
      </c>
      <c r="H54" s="155">
        <f>$F$32/H49</f>
        <v>31.336943427824163</v>
      </c>
      <c r="I54" s="155">
        <f>$F$26/I49</f>
        <v>41.687158263648421</v>
      </c>
      <c r="J54" s="155">
        <f>$F$32/J49</f>
        <v>20.701701431582539</v>
      </c>
      <c r="K54" s="155">
        <f>$F$26/K49</f>
        <v>27.539223979927872</v>
      </c>
    </row>
    <row r="55" spans="1:11" ht="15" hidden="1" customHeight="1" x14ac:dyDescent="0.25">
      <c r="F55" s="149"/>
      <c r="G55" s="150"/>
      <c r="H55" s="150"/>
      <c r="I55" s="150"/>
      <c r="J55" s="150"/>
      <c r="K55" s="150"/>
    </row>
    <row r="56" spans="1:11" ht="15" hidden="1" customHeight="1" x14ac:dyDescent="0.25">
      <c r="A56" s="91" t="s">
        <v>198</v>
      </c>
      <c r="B56" s="91"/>
      <c r="C56" s="91"/>
      <c r="D56" s="91"/>
      <c r="E56" s="91"/>
      <c r="F56" s="92">
        <f>MIN(Background!$B7+1,F57)</f>
        <v>44013</v>
      </c>
      <c r="G56" s="92">
        <f>MIN(MAX(Background!$B7+1,F57+1),G57)</f>
        <v>44378</v>
      </c>
      <c r="H56" s="92">
        <f>MIN(MAX(Background!$B7+1,G57+1),H57)</f>
        <v>44743</v>
      </c>
      <c r="I56" s="92">
        <f>MIN(MAX(Background!$B7+1,H57+1),I57)</f>
        <v>45108</v>
      </c>
      <c r="J56" s="92">
        <f>MIN(MAX(Background!$B7+1,I57+1),J57)</f>
        <v>45474</v>
      </c>
    </row>
    <row r="57" spans="1:11" ht="15" hidden="1" customHeight="1" x14ac:dyDescent="0.25">
      <c r="A57" s="91" t="s">
        <v>174</v>
      </c>
      <c r="B57" s="91"/>
      <c r="C57" s="91"/>
      <c r="D57" s="91"/>
      <c r="E57" s="91"/>
      <c r="F57" s="92">
        <f>F4</f>
        <v>44377</v>
      </c>
      <c r="G57" s="92">
        <f>G4</f>
        <v>44742</v>
      </c>
      <c r="H57" s="92">
        <f>H4</f>
        <v>45107</v>
      </c>
      <c r="I57" s="92">
        <f>I4</f>
        <v>45473</v>
      </c>
      <c r="J57" s="92">
        <f>J4</f>
        <v>45838</v>
      </c>
    </row>
    <row r="58" spans="1:11" ht="15" hidden="1" customHeight="1" x14ac:dyDescent="0.25">
      <c r="A58" s="91" t="s">
        <v>175</v>
      </c>
      <c r="B58" s="91"/>
      <c r="C58" s="91"/>
      <c r="D58" s="91"/>
      <c r="E58" s="91"/>
      <c r="F58" s="92">
        <f>AVERAGE(F56:F57)</f>
        <v>44195</v>
      </c>
      <c r="G58" s="92">
        <f>AVERAGE(G56:G57)</f>
        <v>44560</v>
      </c>
      <c r="H58" s="92">
        <f>AVERAGE(H56:H57)</f>
        <v>44925</v>
      </c>
      <c r="I58" s="92">
        <f>AVERAGE(I56:I57)</f>
        <v>45290.5</v>
      </c>
      <c r="J58" s="92">
        <f>AVERAGE(J56:J57)</f>
        <v>45656</v>
      </c>
    </row>
    <row r="59" spans="1:11" ht="15" hidden="1" customHeight="1" x14ac:dyDescent="0.25">
      <c r="A59" s="91" t="s">
        <v>176</v>
      </c>
      <c r="B59" s="91"/>
      <c r="C59" s="91"/>
      <c r="D59" s="91"/>
      <c r="E59" s="91"/>
      <c r="F59" s="92">
        <f>IF($F19="End of period",F57,F58)</f>
        <v>44377</v>
      </c>
      <c r="G59" s="92">
        <f>IF($F19="End of period",G57,G58)</f>
        <v>44742</v>
      </c>
      <c r="H59" s="92">
        <f>IF($F19="End of period",H57,H58)</f>
        <v>45107</v>
      </c>
      <c r="I59" s="92">
        <f>IF($F19="End of period",I57,I58)</f>
        <v>45473</v>
      </c>
      <c r="J59" s="92">
        <f>IF($F19="End of period",J57,J58)</f>
        <v>45838</v>
      </c>
    </row>
    <row r="60" spans="1:11" ht="15" hidden="1" customHeight="1" x14ac:dyDescent="0.25">
      <c r="A60" s="91" t="s">
        <v>171</v>
      </c>
      <c r="B60" s="91"/>
      <c r="C60" s="91"/>
      <c r="D60" s="91"/>
      <c r="E60" s="91"/>
      <c r="F60" s="106">
        <f>(Background!$B7&lt;=F4)*YEARFRAC(Background!$B7,F59)</f>
        <v>1</v>
      </c>
      <c r="G60" s="106">
        <f>(Background!$B7&lt;=G4)*YEARFRAC(Background!$B7,G59)</f>
        <v>2</v>
      </c>
      <c r="H60" s="106">
        <f>(Background!$B7&lt;=H4)*YEARFRAC(Background!$B7,H59)</f>
        <v>3</v>
      </c>
      <c r="I60" s="106">
        <f>(Background!$B7&lt;=I4)*YEARFRAC(Background!$B7,I59)</f>
        <v>4</v>
      </c>
      <c r="J60" s="106">
        <f>(Background!$B7&lt;=J4)*YEARFRAC(Background!$B7,J59)</f>
        <v>5</v>
      </c>
    </row>
    <row r="61" spans="1:11" ht="15" hidden="1" customHeight="1" x14ac:dyDescent="0.25">
      <c r="F61" s="92"/>
    </row>
    <row r="62" spans="1:11" ht="15" hidden="1" customHeight="1" x14ac:dyDescent="0.25">
      <c r="F62" s="92"/>
    </row>
    <row r="63" spans="1:11" ht="15" hidden="1" customHeight="1" x14ac:dyDescent="0.25"/>
    <row r="64" spans="1:11" ht="15" hidden="1" customHeight="1" x14ac:dyDescent="0.25"/>
    <row r="65" spans="6:10" ht="15" hidden="1" customHeight="1" x14ac:dyDescent="0.25"/>
    <row r="66" spans="6:10" ht="15" hidden="1" customHeight="1" x14ac:dyDescent="0.25"/>
    <row r="67" spans="6:10" ht="15" hidden="1" customHeight="1" x14ac:dyDescent="0.25"/>
    <row r="68" spans="6:10" ht="15" hidden="1" customHeight="1" x14ac:dyDescent="0.25">
      <c r="F68" s="106"/>
      <c r="G68" s="106"/>
      <c r="H68" s="106"/>
      <c r="I68" s="106"/>
      <c r="J68" s="106"/>
    </row>
    <row r="69" spans="6:10" ht="15" hidden="1" customHeight="1" x14ac:dyDescent="0.25"/>
    <row r="70" spans="6:10" ht="15" hidden="1" customHeight="1" x14ac:dyDescent="0.25"/>
    <row r="71" spans="6:10" ht="15" hidden="1" customHeight="1" x14ac:dyDescent="0.25"/>
    <row r="72" spans="6:10" ht="15" hidden="1" customHeight="1" x14ac:dyDescent="0.25"/>
    <row r="73" spans="6:10" ht="15" hidden="1" customHeight="1" x14ac:dyDescent="0.25"/>
    <row r="74" spans="6:10" ht="15" hidden="1" customHeight="1" x14ac:dyDescent="0.25"/>
    <row r="75" spans="6:10" ht="15" hidden="1" customHeight="1" x14ac:dyDescent="0.25"/>
    <row r="76" spans="6:10" ht="15" hidden="1" customHeight="1" x14ac:dyDescent="0.25"/>
    <row r="77" spans="6:10" ht="21.75" hidden="1" customHeight="1" x14ac:dyDescent="0.25"/>
    <row r="78" spans="6:10" ht="15" hidden="1" customHeight="1" x14ac:dyDescent="0.25"/>
    <row r="79" spans="6:10" ht="15" hidden="1" customHeight="1" x14ac:dyDescent="0.25"/>
    <row r="80" spans="6:1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customHeight="1" x14ac:dyDescent="0.25"/>
    <row r="158" ht="15" customHeight="1" x14ac:dyDescent="0.25"/>
  </sheetData>
  <mergeCells count="3">
    <mergeCell ref="J44:K44"/>
    <mergeCell ref="F44:G44"/>
    <mergeCell ref="H44:I44"/>
  </mergeCells>
  <pageMargins left="0.51181102362204722" right="0.51181102362204722" top="0.74803149606299213" bottom="0.74803149606299213" header="0.31496062992125984" footer="0.31496062992125984"/>
  <pageSetup paperSize="9" fitToHeight="0" orientation="portrait" r:id="rId1"/>
  <headerFooter>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092DA-D82C-4C69-984A-8BCC6806874D}">
  <sheetPr>
    <tabColor rgb="FF8B634B"/>
  </sheetPr>
  <dimension ref="A1:Q89"/>
  <sheetViews>
    <sheetView showGridLines="0" zoomScaleNormal="100" zoomScaleSheetLayoutView="110" workbookViewId="0">
      <selection activeCell="A3" sqref="A3"/>
    </sheetView>
  </sheetViews>
  <sheetFormatPr defaultColWidth="0" defaultRowHeight="15" zeroHeight="1" x14ac:dyDescent="0.25"/>
  <cols>
    <col min="1" max="1" width="26.5703125" customWidth="1"/>
    <col min="2" max="8" width="8.42578125" customWidth="1"/>
    <col min="9" max="9" width="12.85546875" bestFit="1" customWidth="1"/>
    <col min="10" max="10" width="12.85546875" customWidth="1"/>
    <col min="11" max="16" width="8.7109375" customWidth="1"/>
    <col min="17" max="17" width="5.28515625" customWidth="1"/>
    <col min="18" max="16384" width="8.7109375" hidden="1"/>
  </cols>
  <sheetData>
    <row r="1" spans="1:8" x14ac:dyDescent="0.25">
      <c r="A1" s="17" t="str">
        <f>Scope&amp;Subject</f>
        <v>Limited Scope Impairment Analysis of Subject Pty Limited</v>
      </c>
    </row>
    <row r="2" spans="1:8" ht="21" x14ac:dyDescent="0.35">
      <c r="A2" s="4" t="str">
        <f ca="1">MID(CELL("Filename",A1),FIND("]",CELL("Filename",A1))+1,255)</f>
        <v>Value in Use</v>
      </c>
    </row>
    <row r="3" spans="1:8" x14ac:dyDescent="0.25"/>
    <row r="4" spans="1:8" x14ac:dyDescent="0.25">
      <c r="A4" s="2" t="s">
        <v>163</v>
      </c>
      <c r="B4" s="137" t="str">
        <f>'Data and assumptions'!B154</f>
        <v>End of period</v>
      </c>
      <c r="C4" s="116"/>
      <c r="D4" s="116"/>
      <c r="E4" s="116"/>
      <c r="F4" s="116"/>
      <c r="G4" s="116"/>
      <c r="H4" s="2"/>
    </row>
    <row r="5" spans="1:8" x14ac:dyDescent="0.25">
      <c r="A5" s="2" t="s">
        <v>164</v>
      </c>
      <c r="B5" s="138">
        <f>'Data and assumptions'!B155</f>
        <v>2.5000000000000001E-2</v>
      </c>
      <c r="C5" s="116"/>
      <c r="D5" s="116"/>
      <c r="E5" s="116"/>
      <c r="F5" s="116"/>
      <c r="G5" s="116"/>
      <c r="H5" s="2"/>
    </row>
    <row r="6" spans="1:8" x14ac:dyDescent="0.25">
      <c r="A6" s="2"/>
      <c r="B6" s="2"/>
      <c r="C6" s="116"/>
      <c r="D6" s="116"/>
      <c r="E6" s="116"/>
      <c r="F6" s="116"/>
      <c r="G6" s="116"/>
      <c r="H6" s="2"/>
    </row>
    <row r="7" spans="1:8" x14ac:dyDescent="0.25">
      <c r="A7" s="1" t="str">
        <f>Units</f>
        <v>$'000</v>
      </c>
      <c r="B7" s="87" t="s">
        <v>203</v>
      </c>
      <c r="C7" s="87">
        <f>Cashflow!F4</f>
        <v>44377</v>
      </c>
      <c r="D7" s="87">
        <f>EOMONTH(C7,12)</f>
        <v>44742</v>
      </c>
      <c r="E7" s="87">
        <f t="shared" ref="E7:G7" si="0">EOMONTH(D7,12)</f>
        <v>45107</v>
      </c>
      <c r="F7" s="87">
        <f t="shared" si="0"/>
        <v>45473</v>
      </c>
      <c r="G7" s="87">
        <f t="shared" si="0"/>
        <v>45838</v>
      </c>
      <c r="H7" s="87" t="s">
        <v>170</v>
      </c>
    </row>
    <row r="8" spans="1:8" x14ac:dyDescent="0.25">
      <c r="A8" s="1"/>
      <c r="B8" s="19"/>
      <c r="C8" s="19"/>
      <c r="D8" s="19"/>
      <c r="E8" s="19"/>
      <c r="F8" s="19"/>
      <c r="G8" s="19"/>
      <c r="H8" s="87"/>
    </row>
    <row r="9" spans="1:8" x14ac:dyDescent="0.25">
      <c r="A9" s="134" t="s">
        <v>204</v>
      </c>
      <c r="B9" s="134"/>
      <c r="C9" s="134"/>
      <c r="D9" s="134"/>
      <c r="E9" s="134"/>
      <c r="F9" s="134"/>
      <c r="G9" s="134"/>
      <c r="H9" s="134"/>
    </row>
    <row r="10" spans="1:8" x14ac:dyDescent="0.25">
      <c r="A10" s="1"/>
      <c r="B10" s="19"/>
      <c r="C10" s="19"/>
      <c r="D10" s="19"/>
      <c r="E10" s="19"/>
      <c r="F10" s="19"/>
      <c r="G10" s="19"/>
      <c r="H10" s="87"/>
    </row>
    <row r="11" spans="1:8" x14ac:dyDescent="0.25">
      <c r="A11" s="2" t="s">
        <v>205</v>
      </c>
      <c r="B11" s="107">
        <f>'Income Statement'!E11</f>
        <v>245</v>
      </c>
      <c r="C11" s="107">
        <f>'Income Statement'!F11</f>
        <v>276.75</v>
      </c>
      <c r="D11" s="107">
        <f>'Income Statement'!G11</f>
        <v>302.125</v>
      </c>
      <c r="E11" s="107">
        <f>'Income Statement'!H11</f>
        <v>319.91500000000002</v>
      </c>
      <c r="F11" s="107">
        <f>'Income Statement'!I11</f>
        <v>348.95062500000006</v>
      </c>
      <c r="G11" s="107">
        <f>'Income Statement'!J11</f>
        <v>368.59430625000005</v>
      </c>
      <c r="H11" s="87"/>
    </row>
    <row r="12" spans="1:8" x14ac:dyDescent="0.25">
      <c r="A12" s="6" t="s">
        <v>206</v>
      </c>
      <c r="B12" s="107"/>
      <c r="C12" s="126">
        <f>+C11/B11-1</f>
        <v>0.12959183673469399</v>
      </c>
      <c r="D12" s="126">
        <f>+D11/C11-1</f>
        <v>9.1689250225835517E-2</v>
      </c>
      <c r="E12" s="126">
        <f t="shared" ref="E12:G12" si="1">+E11/D11-1</f>
        <v>5.8882912701696322E-2</v>
      </c>
      <c r="F12" s="126">
        <f t="shared" si="1"/>
        <v>9.0760436365909802E-2</v>
      </c>
      <c r="G12" s="126">
        <f t="shared" si="1"/>
        <v>5.6293583798567415E-2</v>
      </c>
      <c r="H12" s="87"/>
    </row>
    <row r="13" spans="1:8" ht="6.6" customHeight="1" x14ac:dyDescent="0.25">
      <c r="A13" s="126"/>
      <c r="B13" s="107"/>
      <c r="C13" s="126"/>
      <c r="D13" s="126"/>
      <c r="E13" s="126"/>
      <c r="F13" s="126"/>
      <c r="G13" s="126"/>
      <c r="H13" s="87"/>
    </row>
    <row r="14" spans="1:8" x14ac:dyDescent="0.25">
      <c r="A14" s="2" t="s">
        <v>207</v>
      </c>
      <c r="B14" s="107">
        <f>'Income Statement'!E39</f>
        <v>34</v>
      </c>
      <c r="C14" s="107">
        <f>'Income Statement'!F39</f>
        <v>34.475249999999981</v>
      </c>
      <c r="D14" s="107">
        <f>'Income Statement'!G39</f>
        <v>48.112250000000031</v>
      </c>
      <c r="E14" s="107">
        <f>'Income Statement'!H39</f>
        <v>63.010490625000017</v>
      </c>
      <c r="F14" s="107">
        <f>'Income Statement'!I39</f>
        <v>75.810586328125041</v>
      </c>
      <c r="G14" s="107">
        <f>'Income Statement'!J39</f>
        <v>82.682976595703138</v>
      </c>
      <c r="H14" s="87"/>
    </row>
    <row r="15" spans="1:8" x14ac:dyDescent="0.25">
      <c r="A15" s="126" t="s">
        <v>91</v>
      </c>
      <c r="B15" s="126">
        <f>+B14/B11</f>
        <v>0.13877551020408163</v>
      </c>
      <c r="C15" s="126">
        <f>+C14/C11</f>
        <v>0.12457181571815712</v>
      </c>
      <c r="D15" s="126">
        <f t="shared" ref="D15:G15" si="2">+D14/D11</f>
        <v>0.15924617294166332</v>
      </c>
      <c r="E15" s="126">
        <f t="shared" si="2"/>
        <v>0.1969601007298814</v>
      </c>
      <c r="F15" s="126">
        <f t="shared" si="2"/>
        <v>0.21725304641057749</v>
      </c>
      <c r="G15" s="126">
        <f t="shared" si="2"/>
        <v>0.2243197336304571</v>
      </c>
      <c r="H15" s="87"/>
    </row>
    <row r="16" spans="1:8" x14ac:dyDescent="0.25">
      <c r="A16" s="126"/>
      <c r="B16" s="126"/>
      <c r="C16" s="126"/>
      <c r="D16" s="126"/>
      <c r="E16" s="126"/>
      <c r="F16" s="126"/>
      <c r="G16" s="126"/>
      <c r="H16" s="87"/>
    </row>
    <row r="17" spans="1:16" x14ac:dyDescent="0.25">
      <c r="A17" s="2" t="s">
        <v>158</v>
      </c>
      <c r="B17" s="112">
        <f>'Income Statement'!E37+'Income Statement'!E38</f>
        <v>11</v>
      </c>
      <c r="C17" s="112">
        <f>'Income Statement'!F37+'Income Statement'!F38</f>
        <v>19.25</v>
      </c>
      <c r="D17" s="112">
        <f>'Income Statement'!G37+'Income Statement'!G38</f>
        <v>18.162499999999998</v>
      </c>
      <c r="E17" s="112">
        <f>'Income Statement'!H37+'Income Statement'!H38</f>
        <v>17.238125</v>
      </c>
      <c r="F17" s="112">
        <f>'Income Statement'!I37+'Income Statement'!I38</f>
        <v>16.602406250000001</v>
      </c>
      <c r="G17" s="112">
        <f>'Income Statement'!J37+'Income Statement'!J38</f>
        <v>16.0620453125</v>
      </c>
      <c r="H17" s="87"/>
    </row>
    <row r="18" spans="1:16" x14ac:dyDescent="0.25">
      <c r="A18" s="2" t="s">
        <v>159</v>
      </c>
      <c r="B18" s="112">
        <f>Cashflow!E11+Cashflow!E12</f>
        <v>-15</v>
      </c>
      <c r="C18" s="112">
        <f>Cashflow!F11+Cashflow!F12</f>
        <v>-20</v>
      </c>
      <c r="D18" s="112">
        <f>Cashflow!G11+Cashflow!G12</f>
        <v>-10</v>
      </c>
      <c r="E18" s="112">
        <f>Cashflow!H11+Cashflow!H12</f>
        <v>-11</v>
      </c>
      <c r="F18" s="112">
        <f>Cashflow!I11+Cashflow!I12</f>
        <v>-11</v>
      </c>
      <c r="G18" s="112">
        <f>Cashflow!J11+Cashflow!J12</f>
        <v>-11</v>
      </c>
      <c r="H18" s="87"/>
    </row>
    <row r="19" spans="1:16" x14ac:dyDescent="0.25">
      <c r="A19" s="2" t="s">
        <v>208</v>
      </c>
      <c r="B19" s="112">
        <f>Cashflow!E7</f>
        <v>-6</v>
      </c>
      <c r="C19" s="112">
        <f>Cashflow!F7</f>
        <v>0.24519178082191218</v>
      </c>
      <c r="D19" s="112">
        <f>Cashflow!G7</f>
        <v>-1.447876712328771</v>
      </c>
      <c r="E19" s="112">
        <f>Cashflow!H7</f>
        <v>-1.0525966609588906</v>
      </c>
      <c r="F19" s="112">
        <f>Cashflow!I7</f>
        <v>-2.0248385338185031</v>
      </c>
      <c r="G19" s="112">
        <f>Cashflow!J7</f>
        <v>-1.3708559969498992</v>
      </c>
      <c r="H19" s="87"/>
    </row>
    <row r="20" spans="1:16" x14ac:dyDescent="0.25">
      <c r="A20" s="2"/>
      <c r="B20" s="107"/>
      <c r="C20" s="107"/>
      <c r="D20" s="107"/>
      <c r="E20" s="107"/>
      <c r="F20" s="107"/>
      <c r="G20" s="107"/>
      <c r="H20" s="87"/>
    </row>
    <row r="21" spans="1:16" x14ac:dyDescent="0.25">
      <c r="A21" s="1"/>
      <c r="B21" s="19"/>
      <c r="C21" s="19"/>
      <c r="D21" s="19"/>
      <c r="E21" s="19"/>
      <c r="F21" s="19"/>
      <c r="G21" s="19"/>
      <c r="H21" s="87"/>
    </row>
    <row r="22" spans="1:16" x14ac:dyDescent="0.25">
      <c r="A22" s="133" t="s">
        <v>209</v>
      </c>
      <c r="B22" s="133"/>
      <c r="C22" s="133"/>
      <c r="D22" s="133"/>
      <c r="E22" s="133"/>
      <c r="F22" s="133"/>
      <c r="G22" s="133"/>
      <c r="H22" s="133"/>
      <c r="J22" s="144"/>
    </row>
    <row r="23" spans="1:16" x14ac:dyDescent="0.25">
      <c r="A23" s="1"/>
      <c r="B23" s="19"/>
      <c r="C23" s="19"/>
      <c r="D23" s="19"/>
      <c r="E23" s="19"/>
      <c r="F23" s="19"/>
      <c r="G23" s="19"/>
      <c r="H23" s="87"/>
    </row>
    <row r="24" spans="1:16" ht="15.75" thickBot="1" x14ac:dyDescent="0.3">
      <c r="A24" s="1" t="s">
        <v>210</v>
      </c>
      <c r="B24" s="19"/>
      <c r="C24" s="19"/>
      <c r="D24" s="19"/>
      <c r="E24" s="19"/>
      <c r="F24" s="19"/>
      <c r="G24" s="19"/>
      <c r="H24" s="87"/>
    </row>
    <row r="25" spans="1:16" x14ac:dyDescent="0.25">
      <c r="A25" s="2" t="s">
        <v>254</v>
      </c>
      <c r="B25" s="19"/>
      <c r="C25" s="158">
        <v>0</v>
      </c>
      <c r="D25" s="158">
        <v>0</v>
      </c>
      <c r="E25" s="158">
        <v>0</v>
      </c>
      <c r="F25" s="158">
        <v>-0.05</v>
      </c>
      <c r="G25" s="158">
        <v>-0.03</v>
      </c>
      <c r="H25" s="87"/>
      <c r="J25" s="7" t="s">
        <v>51</v>
      </c>
      <c r="K25" s="8"/>
      <c r="L25" s="8"/>
      <c r="M25" s="8"/>
      <c r="N25" s="8"/>
      <c r="O25" s="8"/>
      <c r="P25" s="9"/>
    </row>
    <row r="26" spans="1:16" ht="14.45" customHeight="1" x14ac:dyDescent="0.25">
      <c r="A26" s="2" t="s">
        <v>211</v>
      </c>
      <c r="B26" s="107">
        <f t="shared" ref="B26" si="3">+B11+B25</f>
        <v>245</v>
      </c>
      <c r="C26" s="107">
        <f>+B26*(1+(C12+C25))</f>
        <v>276.75</v>
      </c>
      <c r="D26" s="107">
        <f t="shared" ref="D26:G26" si="4">+C26*(1+(D12+D25))</f>
        <v>302.125</v>
      </c>
      <c r="E26" s="107">
        <f t="shared" si="4"/>
        <v>319.91500000000002</v>
      </c>
      <c r="F26" s="107">
        <f t="shared" si="4"/>
        <v>332.95487500000002</v>
      </c>
      <c r="G26" s="107">
        <f t="shared" si="4"/>
        <v>341.70945190695403</v>
      </c>
      <c r="H26" s="87"/>
      <c r="J26" s="168" t="s">
        <v>256</v>
      </c>
      <c r="K26" s="169"/>
      <c r="L26" s="169"/>
      <c r="M26" s="169"/>
      <c r="N26" s="169"/>
      <c r="O26" s="169"/>
      <c r="P26" s="170"/>
    </row>
    <row r="27" spans="1:16" x14ac:dyDescent="0.25">
      <c r="A27" s="126" t="s">
        <v>212</v>
      </c>
      <c r="B27" s="19"/>
      <c r="C27" s="126">
        <f>+C26/B26-1</f>
        <v>0.12959183673469399</v>
      </c>
      <c r="D27" s="126">
        <f>+D26/C26-1</f>
        <v>9.1689250225835517E-2</v>
      </c>
      <c r="E27" s="126">
        <f t="shared" ref="E27:G27" si="5">+E26/D26-1</f>
        <v>5.8882912701696322E-2</v>
      </c>
      <c r="F27" s="126">
        <f t="shared" si="5"/>
        <v>4.0760436365909758E-2</v>
      </c>
      <c r="G27" s="126">
        <f t="shared" si="5"/>
        <v>2.6293583798567388E-2</v>
      </c>
      <c r="H27" s="87"/>
      <c r="J27" s="168"/>
      <c r="K27" s="169"/>
      <c r="L27" s="169"/>
      <c r="M27" s="169"/>
      <c r="N27" s="169"/>
      <c r="O27" s="169"/>
      <c r="P27" s="170"/>
    </row>
    <row r="28" spans="1:16" x14ac:dyDescent="0.25">
      <c r="A28" s="126"/>
      <c r="B28" s="19"/>
      <c r="C28" s="126"/>
      <c r="D28" s="126"/>
      <c r="E28" s="126"/>
      <c r="F28" s="126"/>
      <c r="G28" s="126"/>
      <c r="H28" s="87"/>
      <c r="J28" s="168"/>
      <c r="K28" s="169"/>
      <c r="L28" s="169"/>
      <c r="M28" s="169"/>
      <c r="N28" s="169"/>
      <c r="O28" s="169"/>
      <c r="P28" s="170"/>
    </row>
    <row r="29" spans="1:16" x14ac:dyDescent="0.25">
      <c r="A29" s="126" t="s">
        <v>255</v>
      </c>
      <c r="B29" s="107"/>
      <c r="C29" s="158">
        <v>0</v>
      </c>
      <c r="D29" s="158">
        <v>0</v>
      </c>
      <c r="E29" s="158">
        <v>-0.04</v>
      </c>
      <c r="F29" s="158">
        <v>-0.05</v>
      </c>
      <c r="G29" s="158">
        <v>-0.05</v>
      </c>
      <c r="H29" s="87"/>
      <c r="J29" s="168"/>
      <c r="K29" s="169"/>
      <c r="L29" s="169"/>
      <c r="M29" s="169"/>
      <c r="N29" s="169"/>
      <c r="O29" s="169"/>
      <c r="P29" s="170"/>
    </row>
    <row r="30" spans="1:16" x14ac:dyDescent="0.25">
      <c r="A30" s="2" t="s">
        <v>213</v>
      </c>
      <c r="B30" s="107">
        <f>+B26*B15</f>
        <v>34</v>
      </c>
      <c r="C30" s="107">
        <f>+C26*(C15+C29)</f>
        <v>34.475249999999981</v>
      </c>
      <c r="D30" s="107">
        <f t="shared" ref="D30:G30" si="6">+D26*(D15+D29)</f>
        <v>48.112250000000031</v>
      </c>
      <c r="E30" s="107">
        <f t="shared" si="6"/>
        <v>50.213890625000012</v>
      </c>
      <c r="F30" s="107">
        <f t="shared" si="6"/>
        <v>55.687717161003022</v>
      </c>
      <c r="G30" s="107">
        <f t="shared" si="6"/>
        <v>59.566700635429719</v>
      </c>
      <c r="H30" s="87"/>
      <c r="J30" s="168"/>
      <c r="K30" s="169"/>
      <c r="L30" s="169"/>
      <c r="M30" s="169"/>
      <c r="N30" s="169"/>
      <c r="O30" s="169"/>
      <c r="P30" s="170"/>
    </row>
    <row r="31" spans="1:16" ht="15.75" thickBot="1" x14ac:dyDescent="0.3">
      <c r="A31" s="126" t="s">
        <v>217</v>
      </c>
      <c r="B31" s="126">
        <f t="shared" ref="B31:G31" si="7">+B30/B26</f>
        <v>0.13877551020408163</v>
      </c>
      <c r="C31" s="126">
        <f t="shared" si="7"/>
        <v>0.12457181571815712</v>
      </c>
      <c r="D31" s="126">
        <f t="shared" si="7"/>
        <v>0.15924617294166332</v>
      </c>
      <c r="E31" s="126">
        <f t="shared" si="7"/>
        <v>0.1569601007298814</v>
      </c>
      <c r="F31" s="126">
        <f t="shared" si="7"/>
        <v>0.16725304641057748</v>
      </c>
      <c r="G31" s="126">
        <f t="shared" si="7"/>
        <v>0.17431973363045711</v>
      </c>
      <c r="H31" s="87"/>
      <c r="J31" s="171"/>
      <c r="K31" s="172"/>
      <c r="L31" s="172"/>
      <c r="M31" s="172"/>
      <c r="N31" s="172"/>
      <c r="O31" s="172"/>
      <c r="P31" s="173"/>
    </row>
    <row r="32" spans="1:16" x14ac:dyDescent="0.25">
      <c r="H32" s="87"/>
    </row>
    <row r="33" spans="1:16" x14ac:dyDescent="0.25">
      <c r="A33" s="126"/>
      <c r="B33" s="126"/>
      <c r="C33" s="126"/>
      <c r="D33" s="126"/>
      <c r="E33" s="126"/>
      <c r="F33" s="126"/>
      <c r="G33" s="126"/>
      <c r="H33" s="87"/>
    </row>
    <row r="34" spans="1:16" x14ac:dyDescent="0.25">
      <c r="A34" s="126"/>
      <c r="B34" s="126"/>
      <c r="C34" s="19"/>
      <c r="D34" s="19"/>
      <c r="E34" s="19"/>
      <c r="F34" s="19"/>
      <c r="G34" s="19"/>
      <c r="H34" s="87"/>
    </row>
    <row r="35" spans="1:16" ht="15.75" thickBot="1" x14ac:dyDescent="0.3">
      <c r="A35" s="1" t="s">
        <v>214</v>
      </c>
      <c r="B35" s="19"/>
      <c r="C35" s="19"/>
      <c r="D35" s="19"/>
      <c r="E35" s="19"/>
      <c r="F35" s="19"/>
      <c r="G35" s="19"/>
      <c r="H35" s="87"/>
    </row>
    <row r="36" spans="1:16" x14ac:dyDescent="0.25">
      <c r="A36" s="2" t="s">
        <v>215</v>
      </c>
      <c r="B36" s="19"/>
      <c r="C36" s="110"/>
      <c r="D36" s="110"/>
      <c r="E36" s="110"/>
      <c r="F36" s="110"/>
      <c r="G36" s="110"/>
      <c r="H36" s="87"/>
      <c r="J36" s="7" t="s">
        <v>51</v>
      </c>
      <c r="K36" s="8"/>
      <c r="L36" s="8"/>
      <c r="M36" s="8"/>
      <c r="N36" s="8"/>
      <c r="O36" s="8"/>
      <c r="P36" s="9"/>
    </row>
    <row r="37" spans="1:16" ht="14.45" customHeight="1" x14ac:dyDescent="0.25">
      <c r="A37" s="2" t="s">
        <v>211</v>
      </c>
      <c r="B37" s="107">
        <f t="shared" ref="B37:G37" si="8">+B26+B36</f>
        <v>245</v>
      </c>
      <c r="C37" s="107">
        <f t="shared" si="8"/>
        <v>276.75</v>
      </c>
      <c r="D37" s="107">
        <f t="shared" si="8"/>
        <v>302.125</v>
      </c>
      <c r="E37" s="107">
        <f t="shared" si="8"/>
        <v>319.91500000000002</v>
      </c>
      <c r="F37" s="107">
        <f t="shared" si="8"/>
        <v>332.95487500000002</v>
      </c>
      <c r="G37" s="107">
        <f t="shared" si="8"/>
        <v>341.70945190695403</v>
      </c>
      <c r="H37" s="87"/>
      <c r="J37" s="168" t="s">
        <v>257</v>
      </c>
      <c r="K37" s="169"/>
      <c r="L37" s="169"/>
      <c r="M37" s="169"/>
      <c r="N37" s="169"/>
      <c r="O37" s="169"/>
      <c r="P37" s="170"/>
    </row>
    <row r="38" spans="1:16" x14ac:dyDescent="0.25">
      <c r="A38" s="126" t="s">
        <v>212</v>
      </c>
      <c r="B38" s="19"/>
      <c r="C38" s="126">
        <f>+C37/B37-1</f>
        <v>0.12959183673469399</v>
      </c>
      <c r="D38" s="126">
        <f>+D37/C37-1</f>
        <v>9.1689250225835517E-2</v>
      </c>
      <c r="E38" s="126">
        <f t="shared" ref="E38:G38" si="9">+E37/D37-1</f>
        <v>5.8882912701696322E-2</v>
      </c>
      <c r="F38" s="126">
        <f t="shared" si="9"/>
        <v>4.0760436365909758E-2</v>
      </c>
      <c r="G38" s="126">
        <f t="shared" si="9"/>
        <v>2.6293583798567388E-2</v>
      </c>
      <c r="H38" s="87"/>
      <c r="J38" s="168"/>
      <c r="K38" s="169"/>
      <c r="L38" s="169"/>
      <c r="M38" s="169"/>
      <c r="N38" s="169"/>
      <c r="O38" s="169"/>
      <c r="P38" s="170"/>
    </row>
    <row r="39" spans="1:16" ht="5.45" customHeight="1" x14ac:dyDescent="0.25">
      <c r="A39" s="126"/>
      <c r="B39" s="19"/>
      <c r="C39" s="126"/>
      <c r="D39" s="126"/>
      <c r="E39" s="126"/>
      <c r="F39" s="126"/>
      <c r="G39" s="126"/>
      <c r="H39" s="87"/>
      <c r="J39" s="168"/>
      <c r="K39" s="169"/>
      <c r="L39" s="169"/>
      <c r="M39" s="169"/>
      <c r="N39" s="169"/>
      <c r="O39" s="169"/>
      <c r="P39" s="170"/>
    </row>
    <row r="40" spans="1:16" x14ac:dyDescent="0.25">
      <c r="A40" s="2" t="s">
        <v>216</v>
      </c>
      <c r="B40" s="19"/>
      <c r="C40" s="110"/>
      <c r="D40" s="110">
        <v>5</v>
      </c>
      <c r="E40" s="110">
        <v>-3</v>
      </c>
      <c r="F40" s="110">
        <v>-3</v>
      </c>
      <c r="G40" s="110">
        <v>-3</v>
      </c>
      <c r="H40" s="87"/>
      <c r="J40" s="168"/>
      <c r="K40" s="169"/>
      <c r="L40" s="169"/>
      <c r="M40" s="169"/>
      <c r="N40" s="169"/>
      <c r="O40" s="169"/>
      <c r="P40" s="170"/>
    </row>
    <row r="41" spans="1:16" x14ac:dyDescent="0.25">
      <c r="A41" s="2" t="s">
        <v>213</v>
      </c>
      <c r="B41" s="107">
        <f t="shared" ref="B41:G41" si="10">B40+(B37*B31)</f>
        <v>34</v>
      </c>
      <c r="C41" s="107">
        <f t="shared" si="10"/>
        <v>34.475249999999981</v>
      </c>
      <c r="D41" s="107">
        <f t="shared" si="10"/>
        <v>53.112250000000031</v>
      </c>
      <c r="E41" s="107">
        <f t="shared" si="10"/>
        <v>47.213890625000012</v>
      </c>
      <c r="F41" s="107">
        <f t="shared" si="10"/>
        <v>52.687717161003022</v>
      </c>
      <c r="G41" s="107">
        <f t="shared" si="10"/>
        <v>56.566700635429719</v>
      </c>
      <c r="H41" s="87"/>
      <c r="J41" s="168"/>
      <c r="K41" s="169"/>
      <c r="L41" s="169"/>
      <c r="M41" s="169"/>
      <c r="N41" s="169"/>
      <c r="O41" s="169"/>
      <c r="P41" s="170"/>
    </row>
    <row r="42" spans="1:16" x14ac:dyDescent="0.25">
      <c r="A42" s="126" t="s">
        <v>217</v>
      </c>
      <c r="B42" s="126">
        <f t="shared" ref="B42:G42" si="11">+B41/B37</f>
        <v>0.13877551020408163</v>
      </c>
      <c r="C42" s="126">
        <f t="shared" si="11"/>
        <v>0.12457181571815712</v>
      </c>
      <c r="D42" s="126">
        <f t="shared" si="11"/>
        <v>0.17579561439801417</v>
      </c>
      <c r="E42" s="126">
        <f t="shared" si="11"/>
        <v>0.14758260983386215</v>
      </c>
      <c r="F42" s="126">
        <f t="shared" si="11"/>
        <v>0.1582428164207027</v>
      </c>
      <c r="G42" s="126">
        <f t="shared" si="11"/>
        <v>0.16554034522531316</v>
      </c>
      <c r="H42" s="87"/>
      <c r="J42" s="168"/>
      <c r="K42" s="169"/>
      <c r="L42" s="169"/>
      <c r="M42" s="169"/>
      <c r="N42" s="169"/>
      <c r="O42" s="169"/>
      <c r="P42" s="170"/>
    </row>
    <row r="43" spans="1:16" ht="15.75" thickBot="1" x14ac:dyDescent="0.3">
      <c r="A43" s="2" t="s">
        <v>218</v>
      </c>
      <c r="B43" s="19"/>
      <c r="C43" s="110"/>
      <c r="D43" s="110">
        <v>8</v>
      </c>
      <c r="E43" s="110"/>
      <c r="F43" s="110"/>
      <c r="G43" s="110"/>
      <c r="H43" s="87"/>
      <c r="J43" s="171"/>
      <c r="K43" s="172"/>
      <c r="L43" s="172"/>
      <c r="M43" s="172"/>
      <c r="N43" s="172"/>
      <c r="O43" s="172"/>
      <c r="P43" s="173"/>
    </row>
    <row r="44" spans="1:16" x14ac:dyDescent="0.25">
      <c r="A44" s="2"/>
      <c r="B44" s="19"/>
      <c r="C44" s="19"/>
      <c r="D44" s="19"/>
      <c r="E44" s="19"/>
      <c r="F44" s="19"/>
      <c r="G44" s="19"/>
      <c r="H44" s="87"/>
    </row>
    <row r="45" spans="1:16" x14ac:dyDescent="0.25">
      <c r="A45" s="2"/>
      <c r="B45" s="19"/>
      <c r="C45" s="19"/>
      <c r="D45" s="19"/>
      <c r="E45" s="19"/>
      <c r="F45" s="19"/>
      <c r="G45" s="19"/>
      <c r="H45" s="87"/>
    </row>
    <row r="46" spans="1:16" ht="15.75" thickBot="1" x14ac:dyDescent="0.3">
      <c r="A46" s="1" t="s">
        <v>219</v>
      </c>
      <c r="B46" s="19"/>
      <c r="C46" s="19"/>
      <c r="D46" s="19"/>
      <c r="E46" s="19"/>
      <c r="F46" s="19"/>
      <c r="G46" s="19"/>
      <c r="H46" s="87"/>
    </row>
    <row r="47" spans="1:16" x14ac:dyDescent="0.25">
      <c r="A47" s="2" t="s">
        <v>216</v>
      </c>
      <c r="B47" s="19"/>
      <c r="C47" s="110"/>
      <c r="D47" s="110">
        <v>-2</v>
      </c>
      <c r="E47" s="110">
        <v>-2</v>
      </c>
      <c r="F47" s="110">
        <v>-3</v>
      </c>
      <c r="G47" s="110">
        <v>-3</v>
      </c>
      <c r="H47" s="87"/>
      <c r="J47" s="7" t="s">
        <v>51</v>
      </c>
      <c r="K47" s="8"/>
      <c r="L47" s="8"/>
      <c r="M47" s="8"/>
      <c r="N47" s="8"/>
      <c r="O47" s="8"/>
      <c r="P47" s="9"/>
    </row>
    <row r="48" spans="1:16" x14ac:dyDescent="0.25">
      <c r="A48" s="2" t="s">
        <v>213</v>
      </c>
      <c r="B48" s="107">
        <f t="shared" ref="B48:C48" si="12">+B41+B47</f>
        <v>34</v>
      </c>
      <c r="C48" s="107">
        <f t="shared" si="12"/>
        <v>34.475249999999981</v>
      </c>
      <c r="D48" s="107">
        <f>+D41+D47</f>
        <v>51.112250000000031</v>
      </c>
      <c r="E48" s="107">
        <f t="shared" ref="E48:G48" si="13">+E41+E47</f>
        <v>45.213890625000012</v>
      </c>
      <c r="F48" s="107">
        <f t="shared" si="13"/>
        <v>49.687717161003022</v>
      </c>
      <c r="G48" s="107">
        <f t="shared" si="13"/>
        <v>53.566700635429719</v>
      </c>
      <c r="H48" s="87"/>
      <c r="J48" s="168" t="s">
        <v>258</v>
      </c>
      <c r="K48" s="169"/>
      <c r="L48" s="169"/>
      <c r="M48" s="169"/>
      <c r="N48" s="169"/>
      <c r="O48" s="169"/>
      <c r="P48" s="170"/>
    </row>
    <row r="49" spans="1:16" x14ac:dyDescent="0.25">
      <c r="A49" s="126" t="s">
        <v>217</v>
      </c>
      <c r="B49" s="126">
        <f t="shared" ref="B49:C49" si="14">+B48/B37</f>
        <v>0.13877551020408163</v>
      </c>
      <c r="C49" s="126">
        <f t="shared" si="14"/>
        <v>0.12457181571815712</v>
      </c>
      <c r="D49" s="126">
        <f>+D48/D37</f>
        <v>0.16917583781547382</v>
      </c>
      <c r="E49" s="126">
        <f t="shared" ref="E49:G49" si="15">+E48/E37</f>
        <v>0.14133094923651598</v>
      </c>
      <c r="F49" s="126">
        <f t="shared" si="15"/>
        <v>0.14923258643082796</v>
      </c>
      <c r="G49" s="126">
        <f t="shared" si="15"/>
        <v>0.15676095682016924</v>
      </c>
      <c r="H49" s="87"/>
      <c r="J49" s="168"/>
      <c r="K49" s="169"/>
      <c r="L49" s="169"/>
      <c r="M49" s="169"/>
      <c r="N49" s="169"/>
      <c r="O49" s="169"/>
      <c r="P49" s="170"/>
    </row>
    <row r="50" spans="1:16" ht="15.75" thickBot="1" x14ac:dyDescent="0.3">
      <c r="A50" s="1"/>
      <c r="B50" s="19"/>
      <c r="C50" s="19"/>
      <c r="D50" s="19"/>
      <c r="E50" s="19"/>
      <c r="F50" s="19"/>
      <c r="G50" s="19"/>
      <c r="H50" s="87"/>
      <c r="J50" s="171"/>
      <c r="K50" s="172"/>
      <c r="L50" s="172"/>
      <c r="M50" s="172"/>
      <c r="N50" s="172"/>
      <c r="O50" s="172"/>
      <c r="P50" s="173"/>
    </row>
    <row r="51" spans="1:16" x14ac:dyDescent="0.25">
      <c r="A51" s="1"/>
      <c r="B51" s="19"/>
      <c r="C51" s="19"/>
      <c r="D51" s="19"/>
      <c r="E51" s="19"/>
      <c r="F51" s="19"/>
      <c r="G51" s="19"/>
      <c r="H51" s="87"/>
    </row>
    <row r="52" spans="1:16" x14ac:dyDescent="0.25">
      <c r="A52" s="2" t="s">
        <v>220</v>
      </c>
      <c r="B52" s="112">
        <f>B48</f>
        <v>34</v>
      </c>
      <c r="C52" s="112">
        <f t="shared" ref="C52:G52" si="16">C48</f>
        <v>34.475249999999981</v>
      </c>
      <c r="D52" s="112">
        <f t="shared" si="16"/>
        <v>51.112250000000031</v>
      </c>
      <c r="E52" s="112">
        <f t="shared" si="16"/>
        <v>45.213890625000012</v>
      </c>
      <c r="F52" s="112">
        <f t="shared" si="16"/>
        <v>49.687717161003022</v>
      </c>
      <c r="G52" s="112">
        <f t="shared" si="16"/>
        <v>53.566700635429719</v>
      </c>
      <c r="H52" s="2"/>
    </row>
    <row r="53" spans="1:16" x14ac:dyDescent="0.25">
      <c r="A53" s="2" t="s">
        <v>165</v>
      </c>
      <c r="B53" s="112"/>
      <c r="C53" s="113">
        <f>-'Data and assumptions'!F113*'Value in Use'!C52</f>
        <v>-12.066337499999992</v>
      </c>
      <c r="D53" s="113">
        <f>-'Data and assumptions'!G113*'Value in Use'!D52</f>
        <v>-17.889287500000009</v>
      </c>
      <c r="E53" s="113">
        <f>-'Data and assumptions'!H113*'Value in Use'!E52</f>
        <v>-15.824861718750004</v>
      </c>
      <c r="F53" s="113">
        <f>-'Data and assumptions'!I113*'Value in Use'!F52</f>
        <v>-17.390701006351055</v>
      </c>
      <c r="G53" s="113">
        <f>-'Data and assumptions'!J113*'Value in Use'!G52</f>
        <v>-18.748345222400399</v>
      </c>
      <c r="H53" s="2"/>
    </row>
    <row r="54" spans="1:16" x14ac:dyDescent="0.25">
      <c r="A54" s="2" t="s">
        <v>157</v>
      </c>
      <c r="B54" s="112"/>
      <c r="C54" s="112">
        <f>SUM(C52:C53)</f>
        <v>22.408912499999989</v>
      </c>
      <c r="D54" s="112">
        <f t="shared" ref="D54:G54" si="17">SUM(D52:D53)</f>
        <v>33.222962500000023</v>
      </c>
      <c r="E54" s="112">
        <f t="shared" si="17"/>
        <v>29.389028906250008</v>
      </c>
      <c r="F54" s="112">
        <f t="shared" si="17"/>
        <v>32.297016154651971</v>
      </c>
      <c r="G54" s="112">
        <f t="shared" si="17"/>
        <v>34.818355413029323</v>
      </c>
      <c r="H54" s="2"/>
    </row>
    <row r="55" spans="1:16" x14ac:dyDescent="0.25">
      <c r="A55" s="2" t="s">
        <v>158</v>
      </c>
      <c r="B55" s="112"/>
      <c r="C55" s="112">
        <f>+C17</f>
        <v>19.25</v>
      </c>
      <c r="D55" s="112">
        <f>+D17</f>
        <v>18.162499999999998</v>
      </c>
      <c r="E55" s="112">
        <f>+E17</f>
        <v>17.238125</v>
      </c>
      <c r="F55" s="112">
        <f>+F17</f>
        <v>16.602406250000001</v>
      </c>
      <c r="G55" s="112">
        <f>+G17</f>
        <v>16.0620453125</v>
      </c>
      <c r="H55" s="2"/>
    </row>
    <row r="56" spans="1:16" x14ac:dyDescent="0.25">
      <c r="A56" s="2" t="s">
        <v>159</v>
      </c>
      <c r="B56" s="112"/>
      <c r="C56" s="112">
        <f>+C18+C43</f>
        <v>-20</v>
      </c>
      <c r="D56" s="112">
        <f>+D18+D43</f>
        <v>-2</v>
      </c>
      <c r="E56" s="112">
        <f>+E18+E43</f>
        <v>-11</v>
      </c>
      <c r="F56" s="112">
        <f>+F18+F43</f>
        <v>-11</v>
      </c>
      <c r="G56" s="112">
        <f>+G18+G43</f>
        <v>-11</v>
      </c>
      <c r="H56" s="2"/>
    </row>
    <row r="57" spans="1:16" x14ac:dyDescent="0.25">
      <c r="A57" s="2" t="s">
        <v>127</v>
      </c>
      <c r="B57" s="2"/>
      <c r="C57" s="112">
        <f>Cashflow!F7</f>
        <v>0.24519178082191218</v>
      </c>
      <c r="D57" s="112">
        <f>Cashflow!G7</f>
        <v>-1.447876712328771</v>
      </c>
      <c r="E57" s="112">
        <f>Cashflow!H7</f>
        <v>-1.0525966609588906</v>
      </c>
      <c r="F57" s="112">
        <f>Cashflow!I7</f>
        <v>-2.0248385338185031</v>
      </c>
      <c r="G57" s="112">
        <f>Cashflow!J7</f>
        <v>-1.3708559969498992</v>
      </c>
      <c r="H57" s="2"/>
    </row>
    <row r="58" spans="1:16" x14ac:dyDescent="0.25">
      <c r="A58" s="2" t="s">
        <v>201</v>
      </c>
      <c r="B58" s="2"/>
      <c r="C58" s="112">
        <f>Cashflow!F8</f>
        <v>1.425510204081637</v>
      </c>
      <c r="D58" s="112">
        <f>Cashflow!G8</f>
        <v>1.1392857142857169</v>
      </c>
      <c r="E58" s="112">
        <f>Cashflow!H8</f>
        <v>0.79873469387755192</v>
      </c>
      <c r="F58" s="112">
        <f>Cashflow!I8</f>
        <v>1.3036403061224484</v>
      </c>
      <c r="G58" s="112">
        <f>Cashflow!J8</f>
        <v>0.88196119897959235</v>
      </c>
      <c r="H58" s="2"/>
    </row>
    <row r="59" spans="1:16" x14ac:dyDescent="0.25">
      <c r="A59" s="1" t="s">
        <v>160</v>
      </c>
      <c r="B59" s="1"/>
      <c r="C59" s="117">
        <f>SUM(C54:C58)</f>
        <v>23.329614484903534</v>
      </c>
      <c r="D59" s="117">
        <f t="shared" ref="D59:G59" si="18">SUM(D54:D58)</f>
        <v>49.076871501956965</v>
      </c>
      <c r="E59" s="117">
        <f t="shared" si="18"/>
        <v>35.373291939168666</v>
      </c>
      <c r="F59" s="117">
        <f t="shared" si="18"/>
        <v>37.178224176955915</v>
      </c>
      <c r="G59" s="117">
        <f t="shared" si="18"/>
        <v>39.391505927559024</v>
      </c>
      <c r="H59" s="2"/>
    </row>
    <row r="60" spans="1:16" x14ac:dyDescent="0.25">
      <c r="A60" s="2" t="s">
        <v>161</v>
      </c>
      <c r="B60" s="2"/>
      <c r="C60" s="115">
        <f>(Val_Date&lt;=C7)*(MIN(YEARFRAC(Val_Date,C7),1))</f>
        <v>1</v>
      </c>
      <c r="D60" s="115">
        <f>(Val_Date&lt;=D7)*(MIN(YEARFRAC(Val_Date,D7),1))</f>
        <v>1</v>
      </c>
      <c r="E60" s="115">
        <f>(Val_Date&lt;=E7)*(MIN(YEARFRAC(Val_Date,E7),1))</f>
        <v>1</v>
      </c>
      <c r="F60" s="115">
        <f>(Val_Date&lt;=F7)*(MIN(YEARFRAC(Val_Date,F7),1))</f>
        <v>1</v>
      </c>
      <c r="G60" s="115">
        <f>(Val_Date&lt;=G7)*(MIN(YEARFRAC(Val_Date,G7),1))</f>
        <v>1</v>
      </c>
      <c r="H60" s="2"/>
    </row>
    <row r="61" spans="1:16" ht="15.75" thickBot="1" x14ac:dyDescent="0.3">
      <c r="A61" s="1" t="s">
        <v>162</v>
      </c>
      <c r="B61" s="1"/>
      <c r="C61" s="114">
        <f>C59*C60</f>
        <v>23.329614484903534</v>
      </c>
      <c r="D61" s="114">
        <f>D59*D60</f>
        <v>49.076871501956965</v>
      </c>
      <c r="E61" s="114">
        <f>E59*E60</f>
        <v>35.373291939168666</v>
      </c>
      <c r="F61" s="114">
        <f>F59*F60</f>
        <v>37.178224176955915</v>
      </c>
      <c r="G61" s="114">
        <f>G59*G60</f>
        <v>39.391505927559024</v>
      </c>
      <c r="H61" s="2"/>
    </row>
    <row r="62" spans="1:16" x14ac:dyDescent="0.25">
      <c r="A62" s="2"/>
      <c r="B62" s="2"/>
      <c r="C62" s="2"/>
      <c r="D62" s="2"/>
      <c r="E62" s="2"/>
      <c r="F62" s="2"/>
      <c r="G62" s="2"/>
      <c r="H62" s="2"/>
    </row>
    <row r="63" spans="1:16" x14ac:dyDescent="0.25">
      <c r="A63" s="1" t="s">
        <v>168</v>
      </c>
      <c r="B63" s="2"/>
      <c r="C63" s="2"/>
      <c r="D63" s="2"/>
      <c r="E63" s="2"/>
      <c r="F63" s="2"/>
      <c r="G63" s="2"/>
      <c r="H63" s="2"/>
    </row>
    <row r="64" spans="1:16" x14ac:dyDescent="0.25">
      <c r="A64" s="2" t="s">
        <v>169</v>
      </c>
      <c r="B64" s="2"/>
      <c r="C64" s="139">
        <f>C61</f>
        <v>23.329614484903534</v>
      </c>
      <c r="D64" s="139">
        <f t="shared" ref="D64:G64" si="19">D61</f>
        <v>49.076871501956965</v>
      </c>
      <c r="E64" s="139">
        <f t="shared" si="19"/>
        <v>35.373291939168666</v>
      </c>
      <c r="F64" s="139">
        <f t="shared" si="19"/>
        <v>37.178224176955915</v>
      </c>
      <c r="G64" s="139">
        <f t="shared" si="19"/>
        <v>39.391505927559024</v>
      </c>
      <c r="H64" s="139">
        <f>G64*(1+TV_Growth)/(A65-TV_Growth)</f>
        <v>621.17374731919983</v>
      </c>
    </row>
    <row r="65" spans="1:8" x14ac:dyDescent="0.25">
      <c r="A65" s="135">
        <f>'Discount Rate'!B19</f>
        <v>0.09</v>
      </c>
      <c r="B65" s="2"/>
      <c r="C65" s="140">
        <f>1/(1+$A65)^C86</f>
        <v>0.9174311926605504</v>
      </c>
      <c r="D65" s="140">
        <f>1/(1+$A65)^D86</f>
        <v>0.84167999326655996</v>
      </c>
      <c r="E65" s="140">
        <f>1/(1+$A65)^E86</f>
        <v>0.77218348006106419</v>
      </c>
      <c r="F65" s="140">
        <f>1/(1+$A65)^F86</f>
        <v>0.7084252110651964</v>
      </c>
      <c r="G65" s="140">
        <f>1/(1+$A65)^G86</f>
        <v>0.64993138629834524</v>
      </c>
      <c r="H65" s="140">
        <f>G65</f>
        <v>0.64993138629834524</v>
      </c>
    </row>
    <row r="66" spans="1:8" x14ac:dyDescent="0.25">
      <c r="A66" s="2" t="s">
        <v>172</v>
      </c>
      <c r="B66" s="2"/>
      <c r="C66" s="141">
        <f>C64*C65</f>
        <v>21.4033160411959</v>
      </c>
      <c r="D66" s="141">
        <f t="shared" ref="D66:H66" si="20">D64*D65</f>
        <v>41.307020875310968</v>
      </c>
      <c r="E66" s="141">
        <f t="shared" si="20"/>
        <v>27.31467167080325</v>
      </c>
      <c r="F66" s="141">
        <f t="shared" si="20"/>
        <v>26.337991309589182</v>
      </c>
      <c r="G66" s="141">
        <f t="shared" si="20"/>
        <v>25.60177605587792</v>
      </c>
      <c r="H66" s="141">
        <f t="shared" si="20"/>
        <v>403.72031472730555</v>
      </c>
    </row>
    <row r="67" spans="1:8" ht="15.75" thickBot="1" x14ac:dyDescent="0.3">
      <c r="A67" s="1" t="s">
        <v>202</v>
      </c>
      <c r="B67" s="1"/>
      <c r="C67" s="118">
        <f>SUM(C66:H66)</f>
        <v>545.68509068008279</v>
      </c>
      <c r="D67" s="2"/>
      <c r="E67" s="2"/>
      <c r="F67" s="2"/>
      <c r="G67" s="2"/>
      <c r="H67" s="2"/>
    </row>
    <row r="68" spans="1:8" x14ac:dyDescent="0.25">
      <c r="A68" s="2"/>
      <c r="B68" s="2"/>
      <c r="C68" s="2"/>
      <c r="D68" s="2"/>
      <c r="E68" s="2"/>
      <c r="F68" s="2"/>
      <c r="G68" s="2"/>
      <c r="H68" s="2"/>
    </row>
    <row r="69" spans="1:8" x14ac:dyDescent="0.25">
      <c r="A69" s="1" t="s">
        <v>177</v>
      </c>
      <c r="B69" s="2"/>
      <c r="C69" s="2"/>
      <c r="D69" s="2"/>
      <c r="E69" s="2"/>
      <c r="F69" s="2"/>
      <c r="G69" s="2"/>
      <c r="H69" s="2"/>
    </row>
    <row r="70" spans="1:8" x14ac:dyDescent="0.25">
      <c r="A70" s="2" t="s">
        <v>169</v>
      </c>
      <c r="B70" s="2"/>
      <c r="C70" s="139">
        <f>C61</f>
        <v>23.329614484903534</v>
      </c>
      <c r="D70" s="139">
        <f t="shared" ref="D70:G70" si="21">D61</f>
        <v>49.076871501956965</v>
      </c>
      <c r="E70" s="139">
        <f t="shared" si="21"/>
        <v>35.373291939168666</v>
      </c>
      <c r="F70" s="139">
        <f t="shared" si="21"/>
        <v>37.178224176955915</v>
      </c>
      <c r="G70" s="139">
        <f t="shared" si="21"/>
        <v>39.391505927559024</v>
      </c>
      <c r="H70" s="139">
        <f>G70*(1+TV_Growth)/(A71-TV_Growth)</f>
        <v>475.01521853821174</v>
      </c>
    </row>
    <row r="71" spans="1:8" x14ac:dyDescent="0.25">
      <c r="A71" s="135">
        <f>'Discount Rate'!C19</f>
        <v>0.11</v>
      </c>
      <c r="B71" s="2"/>
      <c r="C71" s="140">
        <f>1/(1+$A71)^C86</f>
        <v>0.9009009009009008</v>
      </c>
      <c r="D71" s="140">
        <f>1/(1+$A71)^D86</f>
        <v>0.8116224332440547</v>
      </c>
      <c r="E71" s="140">
        <f>1/(1+$A71)^E86</f>
        <v>0.73119138130095018</v>
      </c>
      <c r="F71" s="140">
        <f>1/(1+$A71)^F86</f>
        <v>0.65873097414500015</v>
      </c>
      <c r="G71" s="140">
        <f>1/(1+$A71)^G86</f>
        <v>0.5934513280585586</v>
      </c>
      <c r="H71" s="140">
        <f>G71</f>
        <v>0.5934513280585586</v>
      </c>
    </row>
    <row r="72" spans="1:8" x14ac:dyDescent="0.25">
      <c r="A72" s="2" t="s">
        <v>172</v>
      </c>
      <c r="B72" s="2"/>
      <c r="C72" s="141">
        <f>C70*C71</f>
        <v>21.017670707120299</v>
      </c>
      <c r="D72" s="141">
        <f t="shared" ref="D72:H72" si="22">D70*D71</f>
        <v>39.83188986442412</v>
      </c>
      <c r="E72" s="141">
        <f t="shared" si="22"/>
        <v>25.864646194162503</v>
      </c>
      <c r="F72" s="141">
        <f t="shared" si="22"/>
        <v>24.490447829067367</v>
      </c>
      <c r="G72" s="141">
        <f t="shared" si="22"/>
        <v>23.376941506936486</v>
      </c>
      <c r="H72" s="141">
        <f t="shared" si="22"/>
        <v>281.89841228952821</v>
      </c>
    </row>
    <row r="73" spans="1:8" ht="15.75" thickBot="1" x14ac:dyDescent="0.3">
      <c r="A73" s="1" t="s">
        <v>202</v>
      </c>
      <c r="B73" s="1"/>
      <c r="C73" s="118">
        <f>SUM(C72:H72)</f>
        <v>416.48000839123898</v>
      </c>
      <c r="D73" s="2"/>
      <c r="E73" s="2"/>
      <c r="F73" s="2"/>
      <c r="G73" s="2"/>
      <c r="H73" s="2"/>
    </row>
    <row r="74" spans="1:8" x14ac:dyDescent="0.25">
      <c r="A74" s="2"/>
      <c r="B74" s="2"/>
      <c r="C74" s="2"/>
      <c r="D74" s="2"/>
      <c r="E74" s="2"/>
      <c r="F74" s="2"/>
      <c r="G74" s="2"/>
      <c r="H74" s="2"/>
    </row>
    <row r="75" spans="1:8" x14ac:dyDescent="0.25">
      <c r="A75" s="136"/>
      <c r="B75" s="136"/>
      <c r="C75" s="119" t="s">
        <v>136</v>
      </c>
      <c r="D75" s="119" t="s">
        <v>137</v>
      </c>
      <c r="E75" s="136"/>
      <c r="F75" s="2"/>
      <c r="G75" s="2"/>
      <c r="H75" s="2"/>
    </row>
    <row r="76" spans="1:8" x14ac:dyDescent="0.25">
      <c r="A76" s="120" t="s">
        <v>173</v>
      </c>
      <c r="B76" s="120"/>
      <c r="C76" s="65">
        <f>C73</f>
        <v>416.48000839123898</v>
      </c>
      <c r="D76" s="65">
        <f>C67</f>
        <v>545.68509068008279</v>
      </c>
      <c r="E76" s="136"/>
      <c r="F76" s="2"/>
      <c r="G76" s="2"/>
      <c r="H76" s="2"/>
    </row>
    <row r="77" spans="1:8" x14ac:dyDescent="0.25">
      <c r="A77" s="2" t="s">
        <v>178</v>
      </c>
      <c r="B77" s="2"/>
      <c r="C77" s="142">
        <f>'Fair Value'!F36</f>
        <v>15</v>
      </c>
      <c r="D77" s="142">
        <f>'Fair Value'!G36</f>
        <v>40</v>
      </c>
      <c r="E77" s="2"/>
      <c r="F77" s="2"/>
      <c r="G77" s="2"/>
      <c r="H77" s="2"/>
    </row>
    <row r="78" spans="1:8" x14ac:dyDescent="0.25">
      <c r="A78" s="2" t="s">
        <v>77</v>
      </c>
      <c r="B78" s="2"/>
      <c r="C78" s="112">
        <f>'Fair Value'!F37</f>
        <v>-73</v>
      </c>
      <c r="D78" s="112">
        <f>'Fair Value'!G37</f>
        <v>-63</v>
      </c>
      <c r="E78" s="2"/>
      <c r="F78" s="2"/>
      <c r="G78" s="2"/>
      <c r="H78" s="2"/>
    </row>
    <row r="79" spans="1:8" ht="15.75" thickBot="1" x14ac:dyDescent="0.3">
      <c r="A79" s="121" t="s">
        <v>179</v>
      </c>
      <c r="B79" s="121"/>
      <c r="C79" s="122">
        <f>+C76+SUM(C77:C78)</f>
        <v>358.48000839123898</v>
      </c>
      <c r="D79" s="122">
        <f>+D76+SUM(D77:D78)</f>
        <v>522.68509068008279</v>
      </c>
      <c r="E79" s="136"/>
      <c r="F79" s="2"/>
      <c r="G79" s="2"/>
      <c r="H79" s="2"/>
    </row>
    <row r="80" spans="1:8" x14ac:dyDescent="0.25">
      <c r="C80" s="50"/>
      <c r="D80" s="50"/>
    </row>
    <row r="81" spans="1:7" x14ac:dyDescent="0.25">
      <c r="C81" s="50"/>
      <c r="D81" s="50"/>
    </row>
    <row r="82" spans="1:7" hidden="1" x14ac:dyDescent="0.25">
      <c r="A82" s="91" t="s">
        <v>198</v>
      </c>
      <c r="C82" s="92">
        <f>MIN(Background!$B7+1,C83)</f>
        <v>44013</v>
      </c>
      <c r="D82" s="92">
        <f>MIN(MAX(Background!$B7+1,C83+1),D83)</f>
        <v>44378</v>
      </c>
      <c r="E82" s="92">
        <f>MIN(MAX(Background!$B7+1,D83+1),E83)</f>
        <v>44743</v>
      </c>
      <c r="F82" s="92">
        <f>MIN(MAX(Background!$B7+1,E83+1),F83)</f>
        <v>45108</v>
      </c>
      <c r="G82" s="92">
        <f>MIN(MAX(Background!$B7+1,F83+1),G83)</f>
        <v>45474</v>
      </c>
    </row>
    <row r="83" spans="1:7" hidden="1" x14ac:dyDescent="0.25">
      <c r="A83" s="91" t="s">
        <v>174</v>
      </c>
      <c r="C83" s="92">
        <f>C7</f>
        <v>44377</v>
      </c>
      <c r="D83" s="92">
        <f>D7</f>
        <v>44742</v>
      </c>
      <c r="E83" s="92">
        <f>E7</f>
        <v>45107</v>
      </c>
      <c r="F83" s="92">
        <f>F7</f>
        <v>45473</v>
      </c>
      <c r="G83" s="92">
        <f>G7</f>
        <v>45838</v>
      </c>
    </row>
    <row r="84" spans="1:7" hidden="1" x14ac:dyDescent="0.25">
      <c r="A84" s="91" t="s">
        <v>175</v>
      </c>
      <c r="C84" s="92">
        <f>AVERAGE(C82:C83)</f>
        <v>44195</v>
      </c>
      <c r="D84" s="92">
        <f>AVERAGE(D82:D83)</f>
        <v>44560</v>
      </c>
      <c r="E84" s="92">
        <f>AVERAGE(E82:E83)</f>
        <v>44925</v>
      </c>
      <c r="F84" s="92">
        <f>AVERAGE(F82:F83)</f>
        <v>45290.5</v>
      </c>
      <c r="G84" s="92">
        <f>AVERAGE(G82:G83)</f>
        <v>45656</v>
      </c>
    </row>
    <row r="85" spans="1:7" hidden="1" x14ac:dyDescent="0.25">
      <c r="A85" s="91" t="s">
        <v>176</v>
      </c>
      <c r="C85" s="92">
        <f>IF($B4="End of period",C83,C84)</f>
        <v>44377</v>
      </c>
      <c r="D85" s="92">
        <f>IF($B4="End of period",D83,D84)</f>
        <v>44742</v>
      </c>
      <c r="E85" s="92">
        <f>IF($B4="End of period",E83,E84)</f>
        <v>45107</v>
      </c>
      <c r="F85" s="92">
        <f>IF($B4="End of period",F83,F84)</f>
        <v>45473</v>
      </c>
      <c r="G85" s="92">
        <f>IF($B4="End of period",G83,G84)</f>
        <v>45838</v>
      </c>
    </row>
    <row r="86" spans="1:7" hidden="1" x14ac:dyDescent="0.25">
      <c r="A86" s="91" t="s">
        <v>171</v>
      </c>
      <c r="C86" s="106">
        <f>(Background!$B7&lt;=C7)*YEARFRAC(Background!$B7,C85)</f>
        <v>1</v>
      </c>
      <c r="D86" s="106">
        <f>(Background!$B7&lt;=D7)*YEARFRAC(Background!$B7,D85)</f>
        <v>2</v>
      </c>
      <c r="E86" s="106">
        <f>(Background!$B7&lt;=E7)*YEARFRAC(Background!$B7,E85)</f>
        <v>3</v>
      </c>
      <c r="F86" s="106">
        <f>(Background!$B7&lt;=F7)*YEARFRAC(Background!$B7,F85)</f>
        <v>4</v>
      </c>
      <c r="G86" s="106">
        <f>(Background!$B7&lt;=G7)*YEARFRAC(Background!$B7,G85)</f>
        <v>5</v>
      </c>
    </row>
    <row r="87" spans="1:7" x14ac:dyDescent="0.25">
      <c r="C87" s="50"/>
      <c r="D87" s="50"/>
    </row>
    <row r="88" spans="1:7" x14ac:dyDescent="0.25"/>
    <row r="89" spans="1:7" x14ac:dyDescent="0.25"/>
  </sheetData>
  <mergeCells count="3">
    <mergeCell ref="J26:P31"/>
    <mergeCell ref="J37:P43"/>
    <mergeCell ref="J48:P50"/>
  </mergeCells>
  <pageMargins left="0.70866141732283472" right="0.70866141732283472" top="0.74803149606299213" bottom="0.74803149606299213" header="0.31496062992125984" footer="0.31496062992125984"/>
  <pageSetup paperSize="9" orientation="portrait" r:id="rId1"/>
  <headerFooter>
    <oddHeader>&amp;LValuation Template&amp;R&amp;G</oddHeader>
  </headerFooter>
  <rowBreaks count="1" manualBreakCount="1">
    <brk id="50"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57C9-7D83-4D5C-94C8-9E2979FB060F}">
  <sheetPr>
    <tabColor rgb="FF8B634B"/>
  </sheetPr>
  <dimension ref="A1:J92"/>
  <sheetViews>
    <sheetView showGridLines="0" zoomScaleNormal="100" zoomScaleSheetLayoutView="110" workbookViewId="0">
      <selection activeCell="F39" sqref="F39"/>
    </sheetView>
  </sheetViews>
  <sheetFormatPr defaultColWidth="0" defaultRowHeight="15" zeroHeight="1" x14ac:dyDescent="0.25"/>
  <cols>
    <col min="1" max="1" width="27.85546875" customWidth="1"/>
    <col min="2" max="8" width="8.42578125" customWidth="1"/>
    <col min="9" max="10" width="12.85546875" hidden="1" customWidth="1"/>
    <col min="11" max="16384" width="8.7109375" hidden="1"/>
  </cols>
  <sheetData>
    <row r="1" spans="1:8" x14ac:dyDescent="0.25">
      <c r="A1" s="17" t="str">
        <f>Scope&amp;Subject</f>
        <v>Limited Scope Impairment Analysis of Subject Pty Limited</v>
      </c>
    </row>
    <row r="2" spans="1:8" ht="21" x14ac:dyDescent="0.35">
      <c r="A2" s="4" t="str">
        <f ca="1">MID(CELL("Filename",A1),FIND("]",CELL("Filename",A1))+1,255)</f>
        <v>Impairment Conclusion</v>
      </c>
    </row>
    <row r="3" spans="1:8" x14ac:dyDescent="0.25"/>
    <row r="4" spans="1:8" x14ac:dyDescent="0.25">
      <c r="A4" s="175" t="s">
        <v>221</v>
      </c>
      <c r="B4" s="175"/>
      <c r="C4" s="175"/>
      <c r="D4" s="175"/>
      <c r="E4" s="175"/>
      <c r="F4" s="175"/>
      <c r="G4" s="175"/>
      <c r="H4" s="175"/>
    </row>
    <row r="5" spans="1:8" x14ac:dyDescent="0.25">
      <c r="A5" s="175"/>
      <c r="B5" s="175"/>
      <c r="C5" s="175"/>
      <c r="D5" s="175"/>
      <c r="E5" s="175"/>
      <c r="F5" s="175"/>
      <c r="G5" s="175"/>
      <c r="H5" s="175"/>
    </row>
    <row r="6" spans="1:8" x14ac:dyDescent="0.25">
      <c r="A6" s="175"/>
      <c r="B6" s="175"/>
      <c r="C6" s="175"/>
      <c r="D6" s="175"/>
      <c r="E6" s="175"/>
      <c r="F6" s="175"/>
      <c r="G6" s="175"/>
      <c r="H6" s="175"/>
    </row>
    <row r="7" spans="1:8" ht="6.6" customHeight="1" x14ac:dyDescent="0.25"/>
    <row r="8" spans="1:8" x14ac:dyDescent="0.25">
      <c r="A8" s="176" t="s">
        <v>222</v>
      </c>
      <c r="B8" s="176"/>
      <c r="C8" s="176"/>
      <c r="D8" s="176"/>
      <c r="E8" s="176"/>
      <c r="F8" s="176"/>
      <c r="G8" s="176"/>
      <c r="H8" s="176"/>
    </row>
    <row r="9" spans="1:8" x14ac:dyDescent="0.25">
      <c r="A9" s="177" t="s">
        <v>223</v>
      </c>
      <c r="B9" s="177"/>
      <c r="C9" s="177"/>
      <c r="D9" s="177"/>
      <c r="E9" s="177"/>
      <c r="F9" s="177"/>
      <c r="G9" s="177"/>
      <c r="H9" s="177"/>
    </row>
    <row r="10" spans="1:8" x14ac:dyDescent="0.25">
      <c r="A10" s="177"/>
      <c r="B10" s="177"/>
      <c r="C10" s="177"/>
      <c r="D10" s="177"/>
      <c r="E10" s="177"/>
      <c r="F10" s="177"/>
      <c r="G10" s="177"/>
      <c r="H10" s="177"/>
    </row>
    <row r="11" spans="1:8" x14ac:dyDescent="0.25"/>
    <row r="12" spans="1:8" x14ac:dyDescent="0.25">
      <c r="A12" s="1" t="str">
        <f>Units</f>
        <v>$'000</v>
      </c>
      <c r="E12" s="166" t="s">
        <v>224</v>
      </c>
      <c r="F12" s="166"/>
      <c r="G12" s="166" t="s">
        <v>225</v>
      </c>
      <c r="H12" s="166"/>
    </row>
    <row r="13" spans="1:8" x14ac:dyDescent="0.25">
      <c r="E13" s="127" t="s">
        <v>136</v>
      </c>
      <c r="F13" s="127" t="s">
        <v>137</v>
      </c>
      <c r="G13" s="127" t="s">
        <v>136</v>
      </c>
      <c r="H13" s="127" t="s">
        <v>137</v>
      </c>
    </row>
    <row r="14" spans="1:8" ht="5.45" customHeight="1" x14ac:dyDescent="0.25"/>
    <row r="15" spans="1:8" x14ac:dyDescent="0.25">
      <c r="A15" t="s">
        <v>173</v>
      </c>
      <c r="E15" s="107">
        <f>'Fair Value'!F32</f>
        <v>574.71680048374492</v>
      </c>
      <c r="F15" s="107">
        <f>'Fair Value'!F26</f>
        <v>764.53883492896352</v>
      </c>
      <c r="G15" s="107">
        <f>+'Value in Use'!C76</f>
        <v>416.48000839123898</v>
      </c>
      <c r="H15" s="107">
        <f>+'Value in Use'!D76</f>
        <v>545.68509068008279</v>
      </c>
    </row>
    <row r="16" spans="1:8" x14ac:dyDescent="0.25">
      <c r="A16" t="s">
        <v>226</v>
      </c>
      <c r="D16" s="111">
        <v>0.05</v>
      </c>
      <c r="E16" s="112">
        <f>-E15*$D$16</f>
        <v>-28.735840024187247</v>
      </c>
      <c r="F16" s="112">
        <f>-F15*$D$16</f>
        <v>-38.226941746448176</v>
      </c>
      <c r="G16" s="128" t="s">
        <v>227</v>
      </c>
      <c r="H16" s="128" t="s">
        <v>227</v>
      </c>
    </row>
    <row r="17" spans="1:8" x14ac:dyDescent="0.25">
      <c r="E17" s="24">
        <f>+E15+E16</f>
        <v>545.98096045955765</v>
      </c>
      <c r="F17" s="24">
        <f>+F15+F16</f>
        <v>726.3118931825154</v>
      </c>
      <c r="G17" s="24">
        <f>+G15</f>
        <v>416.48000839123898</v>
      </c>
      <c r="H17" s="24">
        <f>+H15</f>
        <v>545.68509068008279</v>
      </c>
    </row>
    <row r="18" spans="1:8" x14ac:dyDescent="0.25"/>
    <row r="19" spans="1:8" x14ac:dyDescent="0.25">
      <c r="E19" s="174" t="s">
        <v>238</v>
      </c>
      <c r="F19" s="174"/>
      <c r="G19" s="174"/>
      <c r="H19" s="174"/>
    </row>
    <row r="20" spans="1:8" x14ac:dyDescent="0.25">
      <c r="E20" s="157"/>
      <c r="F20" s="143" t="s">
        <v>137</v>
      </c>
      <c r="G20" s="143"/>
      <c r="H20" s="143" t="s">
        <v>136</v>
      </c>
    </row>
    <row r="21" spans="1:8" ht="5.45" customHeight="1" x14ac:dyDescent="0.25"/>
    <row r="22" spans="1:8" x14ac:dyDescent="0.25">
      <c r="A22" s="129" t="s">
        <v>116</v>
      </c>
      <c r="F22" s="107">
        <f>'Financial Position'!E30</f>
        <v>45</v>
      </c>
      <c r="H22" s="23">
        <f>+F22</f>
        <v>45</v>
      </c>
    </row>
    <row r="23" spans="1:8" x14ac:dyDescent="0.25">
      <c r="A23" s="129" t="s">
        <v>251</v>
      </c>
      <c r="F23" s="112">
        <f>-('Data and assumptions'!D163)</f>
        <v>73</v>
      </c>
      <c r="H23" s="112">
        <f>-('Data and assumptions'!E163)</f>
        <v>63</v>
      </c>
    </row>
    <row r="24" spans="1:8" x14ac:dyDescent="0.25">
      <c r="A24" s="129" t="s">
        <v>252</v>
      </c>
      <c r="F24" s="112">
        <f>-'Financial Position'!E13</f>
        <v>-7</v>
      </c>
      <c r="H24" s="112">
        <f>+F24</f>
        <v>-7</v>
      </c>
    </row>
    <row r="25" spans="1:8" x14ac:dyDescent="0.25">
      <c r="A25" t="s">
        <v>238</v>
      </c>
      <c r="E25" s="112"/>
      <c r="F25" s="130">
        <f>SUM(F22:F24)</f>
        <v>111</v>
      </c>
      <c r="H25" s="130">
        <f>SUM(H22:H24)</f>
        <v>101</v>
      </c>
    </row>
    <row r="26" spans="1:8" x14ac:dyDescent="0.25">
      <c r="E26" s="112"/>
      <c r="F26" s="112"/>
      <c r="H26" s="112"/>
    </row>
    <row r="27" spans="1:8" x14ac:dyDescent="0.25">
      <c r="E27" s="174" t="s">
        <v>239</v>
      </c>
      <c r="F27" s="174"/>
      <c r="G27" s="174"/>
      <c r="H27" s="174"/>
    </row>
    <row r="28" spans="1:8" x14ac:dyDescent="0.25">
      <c r="A28" t="s">
        <v>253</v>
      </c>
      <c r="E28" s="157"/>
      <c r="F28" s="157" t="s">
        <v>137</v>
      </c>
      <c r="G28" s="157"/>
      <c r="H28" s="157" t="s">
        <v>136</v>
      </c>
    </row>
    <row r="29" spans="1:8" ht="6.6" customHeight="1" x14ac:dyDescent="0.25">
      <c r="E29" s="146"/>
      <c r="F29" s="146"/>
      <c r="G29" s="146"/>
      <c r="H29" s="146"/>
    </row>
    <row r="30" spans="1:8" x14ac:dyDescent="0.25">
      <c r="A30" s="108" t="s">
        <v>229</v>
      </c>
      <c r="F30" s="110">
        <v>0</v>
      </c>
      <c r="H30" s="110">
        <v>0</v>
      </c>
    </row>
    <row r="31" spans="1:8" x14ac:dyDescent="0.25">
      <c r="A31" s="108" t="s">
        <v>230</v>
      </c>
      <c r="F31" s="110">
        <v>20</v>
      </c>
      <c r="H31" s="110"/>
    </row>
    <row r="32" spans="1:8" x14ac:dyDescent="0.25">
      <c r="A32" s="108" t="s">
        <v>231</v>
      </c>
      <c r="F32" s="110">
        <v>10</v>
      </c>
      <c r="H32" s="110">
        <v>10</v>
      </c>
    </row>
    <row r="33" spans="1:8" x14ac:dyDescent="0.25">
      <c r="A33" s="108" t="s">
        <v>235</v>
      </c>
      <c r="B33" s="1"/>
      <c r="C33" s="1"/>
      <c r="F33" s="145">
        <v>300</v>
      </c>
      <c r="H33" s="145">
        <f>F33</f>
        <v>300</v>
      </c>
    </row>
    <row r="34" spans="1:8" x14ac:dyDescent="0.25">
      <c r="A34" s="1" t="s">
        <v>236</v>
      </c>
      <c r="B34" s="1"/>
      <c r="C34" s="1"/>
      <c r="F34" s="94">
        <f>SUM(F30:F33)</f>
        <v>330</v>
      </c>
      <c r="H34" s="94">
        <f>SUM(H30:H33)</f>
        <v>310</v>
      </c>
    </row>
    <row r="35" spans="1:8" x14ac:dyDescent="0.25">
      <c r="E35" s="112"/>
      <c r="G35" s="112"/>
    </row>
    <row r="36" spans="1:8" x14ac:dyDescent="0.25">
      <c r="E36" s="174" t="s">
        <v>228</v>
      </c>
      <c r="F36" s="174"/>
      <c r="G36" s="174"/>
      <c r="H36" s="174"/>
    </row>
    <row r="37" spans="1:8" x14ac:dyDescent="0.25">
      <c r="E37" s="157"/>
      <c r="F37" s="143" t="s">
        <v>136</v>
      </c>
      <c r="G37" s="157"/>
      <c r="H37" s="143" t="s">
        <v>137</v>
      </c>
    </row>
    <row r="38" spans="1:8" ht="3" customHeight="1" x14ac:dyDescent="0.25">
      <c r="E38" s="146"/>
      <c r="F38" s="146"/>
      <c r="G38" s="146"/>
      <c r="H38" s="146"/>
    </row>
    <row r="39" spans="1:8" x14ac:dyDescent="0.25">
      <c r="A39" s="1" t="s">
        <v>237</v>
      </c>
      <c r="B39" s="1"/>
      <c r="C39" s="1"/>
      <c r="D39" s="1"/>
      <c r="F39" s="15">
        <f>IF(H17&gt;F17,G17,E17)</f>
        <v>545.98096045955765</v>
      </c>
      <c r="H39" s="15">
        <f>+MAX(F17,H17)</f>
        <v>726.3118931825154</v>
      </c>
    </row>
    <row r="40" spans="1:8" x14ac:dyDescent="0.25">
      <c r="A40" s="2" t="s">
        <v>259</v>
      </c>
      <c r="B40" s="1"/>
      <c r="C40" s="1"/>
      <c r="D40" s="1"/>
      <c r="F40" s="15"/>
      <c r="H40" s="15"/>
    </row>
    <row r="41" spans="1:8" ht="6" customHeight="1" x14ac:dyDescent="0.25">
      <c r="F41" s="112"/>
      <c r="H41" s="112"/>
    </row>
    <row r="42" spans="1:8" x14ac:dyDescent="0.25">
      <c r="A42" t="s">
        <v>240</v>
      </c>
      <c r="F42" s="112">
        <f>-F25</f>
        <v>-111</v>
      </c>
      <c r="H42" s="112">
        <f>-H25</f>
        <v>-101</v>
      </c>
    </row>
    <row r="43" spans="1:8" x14ac:dyDescent="0.25">
      <c r="A43" s="1" t="s">
        <v>241</v>
      </c>
      <c r="B43" s="1"/>
      <c r="C43" s="1"/>
      <c r="D43" s="1"/>
      <c r="F43" s="117">
        <f>SUM(F39:F42)</f>
        <v>434.98096045955765</v>
      </c>
      <c r="H43" s="117">
        <f>SUM(H39:H42)</f>
        <v>625.3118931825154</v>
      </c>
    </row>
    <row r="44" spans="1:8" x14ac:dyDescent="0.25">
      <c r="A44" t="s">
        <v>242</v>
      </c>
      <c r="F44" s="113">
        <f>-F34</f>
        <v>-330</v>
      </c>
      <c r="H44" s="113">
        <f>-H34</f>
        <v>-310</v>
      </c>
    </row>
    <row r="45" spans="1:8" x14ac:dyDescent="0.25">
      <c r="A45" s="1" t="s">
        <v>243</v>
      </c>
      <c r="B45" s="1"/>
      <c r="F45" s="156">
        <f>SUM(F43:F44)</f>
        <v>104.98096045955765</v>
      </c>
      <c r="H45" s="156">
        <f>SUM(H43:H44)</f>
        <v>315.3118931825154</v>
      </c>
    </row>
    <row r="46" spans="1:8" x14ac:dyDescent="0.25">
      <c r="A46" s="6" t="s">
        <v>232</v>
      </c>
      <c r="B46" s="6"/>
      <c r="C46" s="6"/>
      <c r="D46" s="6"/>
      <c r="F46" s="27">
        <f>+F45/F34</f>
        <v>0.31812412260472017</v>
      </c>
      <c r="H46" s="27">
        <f>+H45/H34</f>
        <v>1.0171351392984367</v>
      </c>
    </row>
    <row r="47" spans="1:8" x14ac:dyDescent="0.25"/>
    <row r="48" spans="1:8" x14ac:dyDescent="0.25">
      <c r="E48" s="174" t="s">
        <v>244</v>
      </c>
      <c r="F48" s="174"/>
      <c r="G48" s="174"/>
      <c r="H48" s="174"/>
    </row>
    <row r="49" spans="1:8" x14ac:dyDescent="0.25">
      <c r="E49" s="157"/>
      <c r="F49" s="157" t="s">
        <v>136</v>
      </c>
      <c r="G49" s="157"/>
      <c r="H49" s="157" t="s">
        <v>137</v>
      </c>
    </row>
    <row r="50" spans="1:8" ht="5.0999999999999996" customHeight="1" x14ac:dyDescent="0.25">
      <c r="E50" s="146"/>
      <c r="F50" s="146"/>
      <c r="G50" s="146"/>
      <c r="H50" s="146"/>
    </row>
    <row r="51" spans="1:8" x14ac:dyDescent="0.25">
      <c r="A51" s="1" t="s">
        <v>244</v>
      </c>
      <c r="F51" s="131" t="str">
        <f>IF(F46&gt;0,"No","Yes")</f>
        <v>No</v>
      </c>
      <c r="H51" s="131" t="str">
        <f>IF(H46&gt;0,"No","Yes")</f>
        <v>No</v>
      </c>
    </row>
    <row r="52" spans="1:8" x14ac:dyDescent="0.25">
      <c r="A52" s="1" t="s">
        <v>245</v>
      </c>
      <c r="F52" s="131" t="str">
        <f>IF(F51="No","N/A",F45)</f>
        <v>N/A</v>
      </c>
      <c r="H52" s="131" t="str">
        <f>IF(H51="No","N/A",H45)</f>
        <v>N/A</v>
      </c>
    </row>
    <row r="53" spans="1:8" x14ac:dyDescent="0.25"/>
    <row r="54" spans="1:8" hidden="1" x14ac:dyDescent="0.25"/>
    <row r="55" spans="1:8" hidden="1" x14ac:dyDescent="0.25"/>
    <row r="56" spans="1:8" hidden="1" x14ac:dyDescent="0.25"/>
    <row r="57" spans="1:8" hidden="1" x14ac:dyDescent="0.25"/>
    <row r="58" spans="1:8" hidden="1" x14ac:dyDescent="0.25"/>
    <row r="59" spans="1:8" hidden="1" x14ac:dyDescent="0.25"/>
    <row r="60" spans="1:8" hidden="1" x14ac:dyDescent="0.25"/>
    <row r="61" spans="1:8" hidden="1" x14ac:dyDescent="0.25"/>
    <row r="62" spans="1:8" hidden="1" x14ac:dyDescent="0.25"/>
    <row r="63" spans="1:8" hidden="1" x14ac:dyDescent="0.25"/>
    <row r="64" spans="1:8"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x14ac:dyDescent="0.25"/>
    <row r="90" x14ac:dyDescent="0.25"/>
    <row r="91" x14ac:dyDescent="0.25"/>
    <row r="92" x14ac:dyDescent="0.25"/>
  </sheetData>
  <mergeCells count="9">
    <mergeCell ref="E48:H48"/>
    <mergeCell ref="A4:H6"/>
    <mergeCell ref="A8:H8"/>
    <mergeCell ref="A9:H10"/>
    <mergeCell ref="E12:F12"/>
    <mergeCell ref="G12:H12"/>
    <mergeCell ref="E36:H36"/>
    <mergeCell ref="E19:H19"/>
    <mergeCell ref="E27:H27"/>
  </mergeCells>
  <pageMargins left="0.70866141732283472" right="0.70866141732283472" top="0.74803149606299213" bottom="0.74803149606299213" header="0.31496062992125984" footer="0.31496062992125984"/>
  <pageSetup paperSize="9" orientation="portrait" r:id="rId1"/>
  <headerFooter>
    <oddHeader>&amp;LValuation Template&amp;R&amp;G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F2B49-385C-46E9-9209-43AB847368A0}">
  <sheetPr codeName="Sheet2">
    <tabColor rgb="FF002F6C"/>
  </sheetPr>
  <dimension ref="A1:C26"/>
  <sheetViews>
    <sheetView showGridLines="0" zoomScaleNormal="100" workbookViewId="0">
      <selection activeCell="B8" sqref="B8"/>
    </sheetView>
  </sheetViews>
  <sheetFormatPr defaultColWidth="0" defaultRowHeight="15" zeroHeight="1" x14ac:dyDescent="0.25"/>
  <cols>
    <col min="1" max="1" width="19" customWidth="1"/>
    <col min="2" max="2" width="37" bestFit="1" customWidth="1"/>
    <col min="3" max="3" width="9.140625" customWidth="1"/>
    <col min="4" max="16384" width="9.140625" hidden="1"/>
  </cols>
  <sheetData>
    <row r="1" spans="1:3" x14ac:dyDescent="0.25">
      <c r="A1" s="17" t="str">
        <f>Scope&amp;Subject</f>
        <v>Limited Scope Impairment Analysis of Subject Pty Limited</v>
      </c>
    </row>
    <row r="2" spans="1:3" ht="21" x14ac:dyDescent="0.35">
      <c r="A2" s="4" t="str">
        <f ca="1">MID(CELL("Filename",A1),FIND("]",CELL("Filename",A1))+1,255)</f>
        <v>Background</v>
      </c>
    </row>
    <row r="3" spans="1:3" x14ac:dyDescent="0.25"/>
    <row r="4" spans="1:3" x14ac:dyDescent="0.25">
      <c r="A4" t="s">
        <v>8</v>
      </c>
      <c r="B4" s="5" t="s">
        <v>20</v>
      </c>
    </row>
    <row r="5" spans="1:3" x14ac:dyDescent="0.25">
      <c r="A5" t="s">
        <v>9</v>
      </c>
      <c r="B5" s="5" t="s">
        <v>21</v>
      </c>
    </row>
    <row r="6" spans="1:3" x14ac:dyDescent="0.25">
      <c r="A6" t="s">
        <v>10</v>
      </c>
      <c r="B6" s="5" t="s">
        <v>233</v>
      </c>
    </row>
    <row r="7" spans="1:3" x14ac:dyDescent="0.25">
      <c r="A7" t="s">
        <v>11</v>
      </c>
      <c r="B7" s="18">
        <v>44012</v>
      </c>
      <c r="C7" s="107"/>
    </row>
    <row r="8" spans="1:3" x14ac:dyDescent="0.25">
      <c r="A8" t="s">
        <v>12</v>
      </c>
      <c r="B8" s="5" t="s">
        <v>22</v>
      </c>
    </row>
    <row r="9" spans="1:3" x14ac:dyDescent="0.25"/>
    <row r="10" spans="1:3" x14ac:dyDescent="0.25">
      <c r="A10" t="s">
        <v>13</v>
      </c>
      <c r="B10" s="18">
        <v>44012</v>
      </c>
    </row>
    <row r="11" spans="1:3" x14ac:dyDescent="0.25">
      <c r="A11" t="s">
        <v>14</v>
      </c>
      <c r="B11" s="5" t="s">
        <v>4</v>
      </c>
    </row>
    <row r="12" spans="1:3" x14ac:dyDescent="0.25"/>
    <row r="13" spans="1:3" x14ac:dyDescent="0.25">
      <c r="A13" t="s">
        <v>15</v>
      </c>
      <c r="B13" s="5" t="s">
        <v>23</v>
      </c>
    </row>
    <row r="14" spans="1:3" x14ac:dyDescent="0.25">
      <c r="A14" t="s">
        <v>16</v>
      </c>
      <c r="B14" s="5" t="s">
        <v>24</v>
      </c>
    </row>
    <row r="15" spans="1:3" x14ac:dyDescent="0.25">
      <c r="A15" t="s">
        <v>17</v>
      </c>
      <c r="B15" s="5" t="s">
        <v>25</v>
      </c>
    </row>
    <row r="16" spans="1:3" x14ac:dyDescent="0.25">
      <c r="A16" t="s">
        <v>18</v>
      </c>
      <c r="B16" s="5" t="s">
        <v>26</v>
      </c>
    </row>
    <row r="17" spans="1:2" x14ac:dyDescent="0.25">
      <c r="A17" t="s">
        <v>19</v>
      </c>
      <c r="B17" s="5" t="s">
        <v>27</v>
      </c>
    </row>
    <row r="18" spans="1:2" x14ac:dyDescent="0.25"/>
    <row r="19" spans="1:2" hidden="1" x14ac:dyDescent="0.25"/>
    <row r="20" spans="1:2" hidden="1" x14ac:dyDescent="0.25"/>
    <row r="21" spans="1:2" hidden="1" x14ac:dyDescent="0.25"/>
    <row r="22" spans="1:2" hidden="1" x14ac:dyDescent="0.25"/>
    <row r="23" spans="1:2" hidden="1" x14ac:dyDescent="0.25"/>
    <row r="24" spans="1:2" hidden="1" x14ac:dyDescent="0.25"/>
    <row r="25" spans="1:2" hidden="1" x14ac:dyDescent="0.25"/>
    <row r="26" spans="1:2" hidden="1" x14ac:dyDescent="0.25"/>
  </sheetData>
  <pageMargins left="0.70866141732283472" right="0.70866141732283472" top="0.74803149606299213" bottom="0.74803149606299213" header="0.31496062992125984" footer="0.31496062992125984"/>
  <pageSetup paperSize="9" orientation="portrait" r:id="rId1"/>
  <headerFooter>
    <oddHeader>&amp;R&amp;G</oddHeader>
    <oddFooter>&amp;C&amp;9&amp;A&amp;R&amp;9Page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4032-4013-4724-84F1-0F92A9A3BAFF}">
  <sheetPr codeName="Sheet3">
    <tabColor rgb="FF002F6C"/>
    <pageSetUpPr fitToPage="1"/>
  </sheetPr>
  <dimension ref="A1:Q173"/>
  <sheetViews>
    <sheetView showGridLines="0" workbookViewId="0">
      <pane ySplit="4" topLeftCell="A5" activePane="bottomLeft" state="frozen"/>
      <selection activeCell="A6" sqref="A6"/>
      <selection pane="bottomLeft" activeCell="A3" sqref="A3"/>
    </sheetView>
  </sheetViews>
  <sheetFormatPr defaultColWidth="0" defaultRowHeight="15" x14ac:dyDescent="0.25"/>
  <cols>
    <col min="1" max="1" width="29.5703125" customWidth="1"/>
    <col min="2" max="2" width="13.42578125" bestFit="1" customWidth="1"/>
    <col min="3" max="3" width="2.85546875" customWidth="1"/>
    <col min="4" max="10" width="9.140625" customWidth="1"/>
    <col min="11" max="11" width="2.85546875" customWidth="1"/>
    <col min="12" max="16" width="9.140625" customWidth="1"/>
    <col min="17" max="17" width="2.85546875" customWidth="1"/>
    <col min="18" max="16384" width="9.140625" hidden="1"/>
  </cols>
  <sheetData>
    <row r="1" spans="1:10" x14ac:dyDescent="0.25">
      <c r="A1" s="17" t="str">
        <f>Scope&amp;Subject</f>
        <v>Limited Scope Impairment Analysis of Subject Pty Limited</v>
      </c>
      <c r="B1" s="17"/>
    </row>
    <row r="2" spans="1:10" ht="21" x14ac:dyDescent="0.35">
      <c r="A2" s="4" t="str">
        <f ca="1">MID(CELL("Filename",A1),FIND("]",CELL("Filename",A1))+1,255)</f>
        <v>Data and assumptions</v>
      </c>
      <c r="B2" s="4"/>
    </row>
    <row r="4" spans="1:10" x14ac:dyDescent="0.25">
      <c r="A4" t="str">
        <f>Units</f>
        <v>$'000</v>
      </c>
      <c r="D4" s="19">
        <f>EOMONTH(E4,-12)</f>
        <v>43646</v>
      </c>
      <c r="E4" s="19">
        <f>Last_YE</f>
        <v>44012</v>
      </c>
      <c r="F4" s="19">
        <f>EOMONTH(E4,12)</f>
        <v>44377</v>
      </c>
      <c r="G4" s="19">
        <f t="shared" ref="G4:J4" si="0">EOMONTH(F4,12)</f>
        <v>44742</v>
      </c>
      <c r="H4" s="19">
        <f t="shared" si="0"/>
        <v>45107</v>
      </c>
      <c r="I4" s="19">
        <f t="shared" si="0"/>
        <v>45473</v>
      </c>
      <c r="J4" s="19">
        <f t="shared" si="0"/>
        <v>45838</v>
      </c>
    </row>
    <row r="5" spans="1:10" x14ac:dyDescent="0.25">
      <c r="A5" s="20" t="s">
        <v>5</v>
      </c>
      <c r="B5" s="20"/>
      <c r="C5" s="20"/>
      <c r="D5" s="20"/>
      <c r="E5" s="20"/>
      <c r="F5" s="20"/>
      <c r="G5" s="20"/>
      <c r="H5" s="20"/>
      <c r="I5" s="20"/>
      <c r="J5" s="20"/>
    </row>
    <row r="7" spans="1:10" x14ac:dyDescent="0.25">
      <c r="A7" t="str">
        <f>"Revenue - "&amp;Segment_1</f>
        <v>Revenue - Widgets</v>
      </c>
      <c r="D7" s="5">
        <v>100</v>
      </c>
      <c r="E7" s="5">
        <v>110</v>
      </c>
      <c r="F7" s="23">
        <f>E7*(1+F14)</f>
        <v>126.49999999999999</v>
      </c>
      <c r="G7" s="23">
        <f t="shared" ref="G7:J7" si="1">F7*(1+G14)</f>
        <v>139.15</v>
      </c>
      <c r="H7" s="23">
        <f t="shared" si="1"/>
        <v>149.58625000000001</v>
      </c>
      <c r="I7" s="23">
        <f t="shared" si="1"/>
        <v>157.06556250000003</v>
      </c>
      <c r="J7" s="23">
        <f t="shared" si="1"/>
        <v>164.91884062500003</v>
      </c>
    </row>
    <row r="8" spans="1:10" x14ac:dyDescent="0.25">
      <c r="A8" t="str">
        <f>"Revenue - "&amp;Segment_2</f>
        <v>Revenue - Wobbles</v>
      </c>
      <c r="D8" s="5">
        <v>55</v>
      </c>
      <c r="E8" s="5">
        <v>60</v>
      </c>
      <c r="F8" s="23">
        <f t="shared" ref="F8:J8" si="2">E8*(1+F15)</f>
        <v>66</v>
      </c>
      <c r="G8" s="23">
        <f t="shared" si="2"/>
        <v>72.600000000000009</v>
      </c>
      <c r="H8" s="23">
        <f t="shared" si="2"/>
        <v>79.860000000000014</v>
      </c>
      <c r="I8" s="23">
        <f t="shared" si="2"/>
        <v>87.846000000000018</v>
      </c>
      <c r="J8" s="23">
        <f t="shared" si="2"/>
        <v>94.434450000000012</v>
      </c>
    </row>
    <row r="9" spans="1:10" x14ac:dyDescent="0.25">
      <c r="A9" t="str">
        <f>"Revenue - "&amp;Segment_3</f>
        <v>Revenue - Wizzles</v>
      </c>
      <c r="D9" s="5">
        <v>50</v>
      </c>
      <c r="E9" s="5">
        <v>40</v>
      </c>
      <c r="F9" s="23">
        <f t="shared" ref="F9:J9" si="3">E9*(1+F16)</f>
        <v>36</v>
      </c>
      <c r="G9" s="23">
        <f t="shared" si="3"/>
        <v>18</v>
      </c>
      <c r="H9" s="23">
        <f t="shared" si="3"/>
        <v>0</v>
      </c>
      <c r="I9" s="23">
        <f t="shared" si="3"/>
        <v>0</v>
      </c>
      <c r="J9" s="23">
        <f t="shared" si="3"/>
        <v>0</v>
      </c>
    </row>
    <row r="10" spans="1:10" x14ac:dyDescent="0.25">
      <c r="A10" t="str">
        <f>"Revenue - "&amp;Segment_4</f>
        <v>Revenue - Wonks</v>
      </c>
      <c r="D10" s="5">
        <v>25</v>
      </c>
      <c r="E10" s="5">
        <v>29</v>
      </c>
      <c r="F10" s="23">
        <f t="shared" ref="F10:J10" si="4">E10*(1+F17)</f>
        <v>36.25</v>
      </c>
      <c r="G10" s="23">
        <f t="shared" si="4"/>
        <v>54.375</v>
      </c>
      <c r="H10" s="23">
        <f t="shared" si="4"/>
        <v>67.96875</v>
      </c>
      <c r="I10" s="23">
        <f t="shared" si="4"/>
        <v>78.1640625</v>
      </c>
      <c r="J10" s="23">
        <f t="shared" si="4"/>
        <v>82.072265625</v>
      </c>
    </row>
    <row r="11" spans="1:10" x14ac:dyDescent="0.25">
      <c r="A11" t="str">
        <f>"Revenue - "&amp;Segment_5</f>
        <v>Revenue - Weebats</v>
      </c>
      <c r="D11" s="5">
        <v>5</v>
      </c>
      <c r="E11" s="5">
        <v>6</v>
      </c>
      <c r="F11" s="23">
        <f t="shared" ref="F11:J11" si="5">E11*(1+F18)</f>
        <v>12</v>
      </c>
      <c r="G11" s="23">
        <f t="shared" si="5"/>
        <v>18</v>
      </c>
      <c r="H11" s="23">
        <f t="shared" si="5"/>
        <v>22.5</v>
      </c>
      <c r="I11" s="23">
        <f t="shared" si="5"/>
        <v>25.874999999999996</v>
      </c>
      <c r="J11" s="23">
        <f t="shared" si="5"/>
        <v>27.168749999999996</v>
      </c>
    </row>
    <row r="12" spans="1:10" x14ac:dyDescent="0.25">
      <c r="A12" s="1" t="s">
        <v>33</v>
      </c>
      <c r="B12" s="1"/>
      <c r="D12" s="24">
        <f>SUM(D7:D11)</f>
        <v>235</v>
      </c>
      <c r="E12" s="24">
        <f>SUM(E7:E11)</f>
        <v>245</v>
      </c>
      <c r="F12" s="24">
        <f t="shared" ref="F12:J12" si="6">SUM(F7:F11)</f>
        <v>276.75</v>
      </c>
      <c r="G12" s="24">
        <f t="shared" si="6"/>
        <v>302.125</v>
      </c>
      <c r="H12" s="24">
        <f t="shared" si="6"/>
        <v>319.91500000000002</v>
      </c>
      <c r="I12" s="24">
        <f t="shared" si="6"/>
        <v>348.95062500000006</v>
      </c>
      <c r="J12" s="24">
        <f t="shared" si="6"/>
        <v>368.59430625000005</v>
      </c>
    </row>
    <row r="14" spans="1:10" x14ac:dyDescent="0.25">
      <c r="A14" s="6" t="str">
        <f>"Revenue growth - "&amp;Segment_1</f>
        <v>Revenue growth - Widgets</v>
      </c>
      <c r="B14" s="6"/>
      <c r="E14" s="33">
        <f>IFERROR(E7/D7-1,"")</f>
        <v>0.10000000000000009</v>
      </c>
      <c r="F14" s="30">
        <v>0.15</v>
      </c>
      <c r="G14" s="30">
        <v>0.1</v>
      </c>
      <c r="H14" s="30">
        <v>7.4999999999999997E-2</v>
      </c>
      <c r="I14" s="30">
        <v>0.05</v>
      </c>
      <c r="J14" s="30">
        <v>0.05</v>
      </c>
    </row>
    <row r="15" spans="1:10" x14ac:dyDescent="0.25">
      <c r="A15" s="6" t="str">
        <f>"Revenue growth - "&amp;Segment_2</f>
        <v>Revenue growth - Wobbles</v>
      </c>
      <c r="B15" s="6"/>
      <c r="E15" s="33">
        <f t="shared" ref="E15:J19" si="7">IFERROR(E8/D8-1,"")</f>
        <v>9.0909090909090828E-2</v>
      </c>
      <c r="F15" s="30">
        <v>0.1</v>
      </c>
      <c r="G15" s="30">
        <v>0.1</v>
      </c>
      <c r="H15" s="30">
        <v>0.1</v>
      </c>
      <c r="I15" s="30">
        <v>0.1</v>
      </c>
      <c r="J15" s="30">
        <v>7.4999999999999997E-2</v>
      </c>
    </row>
    <row r="16" spans="1:10" x14ac:dyDescent="0.25">
      <c r="A16" s="6" t="str">
        <f>"Revenue growth - "&amp;Segment_3</f>
        <v>Revenue growth - Wizzles</v>
      </c>
      <c r="B16" s="6"/>
      <c r="E16" s="33">
        <f t="shared" si="7"/>
        <v>-0.19999999999999996</v>
      </c>
      <c r="F16" s="30">
        <v>-0.1</v>
      </c>
      <c r="G16" s="30">
        <v>-0.5</v>
      </c>
      <c r="H16" s="30">
        <v>-1</v>
      </c>
      <c r="I16" s="30">
        <v>0</v>
      </c>
      <c r="J16" s="30">
        <v>0</v>
      </c>
    </row>
    <row r="17" spans="1:16" x14ac:dyDescent="0.25">
      <c r="A17" s="6" t="str">
        <f>"Revenue growth - "&amp;Segment_4</f>
        <v>Revenue growth - Wonks</v>
      </c>
      <c r="B17" s="6"/>
      <c r="E17" s="33">
        <f t="shared" si="7"/>
        <v>0.15999999999999992</v>
      </c>
      <c r="F17" s="30">
        <v>0.25</v>
      </c>
      <c r="G17" s="30">
        <v>0.5</v>
      </c>
      <c r="H17" s="30">
        <v>0.25</v>
      </c>
      <c r="I17" s="30">
        <v>0.15</v>
      </c>
      <c r="J17" s="30">
        <v>0.05</v>
      </c>
    </row>
    <row r="18" spans="1:16" x14ac:dyDescent="0.25">
      <c r="A18" s="6" t="str">
        <f>"Revenue growth - "&amp;Segment_5</f>
        <v>Revenue growth - Weebats</v>
      </c>
      <c r="B18" s="6"/>
      <c r="E18" s="33">
        <f t="shared" si="7"/>
        <v>0.19999999999999996</v>
      </c>
      <c r="F18" s="31">
        <v>1</v>
      </c>
      <c r="G18" s="31">
        <v>0.5</v>
      </c>
      <c r="H18" s="31">
        <v>0.25</v>
      </c>
      <c r="I18" s="31">
        <v>0.15</v>
      </c>
      <c r="J18" s="31">
        <v>0.05</v>
      </c>
    </row>
    <row r="19" spans="1:16" x14ac:dyDescent="0.25">
      <c r="A19" s="21" t="s">
        <v>28</v>
      </c>
      <c r="B19" s="21"/>
      <c r="E19" s="32">
        <f t="shared" si="7"/>
        <v>4.2553191489361764E-2</v>
      </c>
      <c r="F19" s="32">
        <f t="shared" si="7"/>
        <v>0.12959183673469399</v>
      </c>
      <c r="G19" s="32">
        <f t="shared" si="7"/>
        <v>9.1689250225835517E-2</v>
      </c>
      <c r="H19" s="32">
        <f t="shared" si="7"/>
        <v>5.8882912701696322E-2</v>
      </c>
      <c r="I19" s="32">
        <f t="shared" si="7"/>
        <v>9.0760436365909802E-2</v>
      </c>
      <c r="J19" s="32">
        <f t="shared" si="7"/>
        <v>5.6293583798567415E-2</v>
      </c>
    </row>
    <row r="21" spans="1:16" x14ac:dyDescent="0.25">
      <c r="A21" s="20" t="s">
        <v>6</v>
      </c>
      <c r="B21" s="20"/>
      <c r="C21" s="20"/>
      <c r="D21" s="20"/>
      <c r="E21" s="20"/>
      <c r="F21" s="20"/>
      <c r="G21" s="20"/>
      <c r="H21" s="20"/>
      <c r="I21" s="20"/>
      <c r="J21" s="20"/>
    </row>
    <row r="23" spans="1:16" x14ac:dyDescent="0.25">
      <c r="A23" t="str">
        <f>"Cost of sales - "&amp;Segment_1</f>
        <v>Cost of sales - Widgets</v>
      </c>
      <c r="D23" s="5">
        <v>60</v>
      </c>
      <c r="E23" s="5">
        <v>65</v>
      </c>
      <c r="F23" s="132">
        <f>(1-F30)*F7</f>
        <v>75.899999999999991</v>
      </c>
      <c r="G23" s="23">
        <f t="shared" ref="G23:J23" si="8">(1-G30)*G7</f>
        <v>83.49</v>
      </c>
      <c r="H23" s="23">
        <f t="shared" si="8"/>
        <v>89.751750000000001</v>
      </c>
      <c r="I23" s="23">
        <f t="shared" si="8"/>
        <v>94.239337500000019</v>
      </c>
      <c r="J23" s="23">
        <f t="shared" si="8"/>
        <v>98.951304375000021</v>
      </c>
    </row>
    <row r="24" spans="1:16" x14ac:dyDescent="0.25">
      <c r="A24" t="str">
        <f>"Cost of sales - "&amp;Segment_2</f>
        <v>Cost of sales - Wobbles</v>
      </c>
      <c r="D24" s="5">
        <v>25</v>
      </c>
      <c r="E24" s="5">
        <v>30</v>
      </c>
      <c r="F24" s="23">
        <f t="shared" ref="F24:J24" si="9">(1-F31)*F8</f>
        <v>29.699999999999996</v>
      </c>
      <c r="G24" s="23">
        <f t="shared" si="9"/>
        <v>32.67</v>
      </c>
      <c r="H24" s="23">
        <f t="shared" si="9"/>
        <v>35.937000000000005</v>
      </c>
      <c r="I24" s="23">
        <f t="shared" si="9"/>
        <v>39.530700000000003</v>
      </c>
      <c r="J24" s="23">
        <f t="shared" si="9"/>
        <v>42.495502500000001</v>
      </c>
    </row>
    <row r="25" spans="1:16" x14ac:dyDescent="0.25">
      <c r="A25" t="str">
        <f>"Cost of sales - "&amp;Segment_3</f>
        <v>Cost of sales - Wizzles</v>
      </c>
      <c r="D25" s="5">
        <v>35</v>
      </c>
      <c r="E25" s="5">
        <v>30</v>
      </c>
      <c r="F25" s="23">
        <f t="shared" ref="F25:J25" si="10">(1-F32)*F9</f>
        <v>28.8</v>
      </c>
      <c r="G25" s="23">
        <f t="shared" si="10"/>
        <v>14.4</v>
      </c>
      <c r="H25" s="23">
        <f t="shared" si="10"/>
        <v>0</v>
      </c>
      <c r="I25" s="23">
        <f t="shared" si="10"/>
        <v>0</v>
      </c>
      <c r="J25" s="23">
        <f t="shared" si="10"/>
        <v>0</v>
      </c>
    </row>
    <row r="26" spans="1:16" x14ac:dyDescent="0.25">
      <c r="A26" t="str">
        <f>"Cost of sales - "&amp;Segment_4</f>
        <v>Cost of sales - Wonks</v>
      </c>
      <c r="D26" s="5">
        <v>15</v>
      </c>
      <c r="E26" s="5">
        <v>17</v>
      </c>
      <c r="F26" s="23">
        <f t="shared" ref="F26:J26" si="11">(1-F33)*F10</f>
        <v>19.9375</v>
      </c>
      <c r="G26" s="23">
        <f t="shared" si="11"/>
        <v>27.1875</v>
      </c>
      <c r="H26" s="23">
        <f t="shared" si="11"/>
        <v>30.585937499999996</v>
      </c>
      <c r="I26" s="23">
        <f t="shared" si="11"/>
        <v>35.173828125</v>
      </c>
      <c r="J26" s="23">
        <f t="shared" si="11"/>
        <v>36.932519531249994</v>
      </c>
    </row>
    <row r="27" spans="1:16" x14ac:dyDescent="0.25">
      <c r="A27" t="str">
        <f>"Cost of sales - "&amp;Segment_5</f>
        <v>Cost of sales - Weebats</v>
      </c>
      <c r="D27" s="5">
        <v>5</v>
      </c>
      <c r="E27" s="5">
        <v>6</v>
      </c>
      <c r="F27" s="23">
        <f t="shared" ref="F27:J27" si="12">(1-F34)*F11</f>
        <v>11.399999999999999</v>
      </c>
      <c r="G27" s="23">
        <f t="shared" si="12"/>
        <v>16.2</v>
      </c>
      <c r="H27" s="23">
        <f t="shared" si="12"/>
        <v>19.125</v>
      </c>
      <c r="I27" s="23">
        <f t="shared" si="12"/>
        <v>19.406249999999996</v>
      </c>
      <c r="J27" s="23">
        <f t="shared" si="12"/>
        <v>20.376562499999999</v>
      </c>
    </row>
    <row r="28" spans="1:16" x14ac:dyDescent="0.25">
      <c r="D28" s="24">
        <f t="shared" ref="D28:F28" si="13">SUM(D23:D27)</f>
        <v>140</v>
      </c>
      <c r="E28" s="24">
        <f t="shared" si="13"/>
        <v>148</v>
      </c>
      <c r="F28" s="24">
        <f t="shared" si="13"/>
        <v>165.73750000000001</v>
      </c>
      <c r="G28" s="24">
        <f t="shared" ref="G28" si="14">SUM(G23:G27)</f>
        <v>173.94749999999999</v>
      </c>
      <c r="H28" s="24">
        <f t="shared" ref="H28" si="15">SUM(H23:H27)</f>
        <v>175.3996875</v>
      </c>
      <c r="I28" s="24">
        <f t="shared" ref="I28" si="16">SUM(I23:I27)</f>
        <v>188.35011562500003</v>
      </c>
      <c r="J28" s="24">
        <f t="shared" ref="J28" si="17">SUM(J23:J27)</f>
        <v>198.75588890625002</v>
      </c>
    </row>
    <row r="29" spans="1:16" ht="15.75" thickBot="1" x14ac:dyDescent="0.3"/>
    <row r="30" spans="1:16" x14ac:dyDescent="0.25">
      <c r="A30" s="6" t="str">
        <f>"Gross margin - "&amp;Segment_1</f>
        <v>Gross margin - Widgets</v>
      </c>
      <c r="B30" s="6"/>
      <c r="D30" s="33">
        <f>IFERROR((D7-D23)/D7,"")</f>
        <v>0.4</v>
      </c>
      <c r="E30" s="33">
        <f>IFERROR((E7-E23)/E7,"")</f>
        <v>0.40909090909090912</v>
      </c>
      <c r="F30" s="30">
        <v>0.4</v>
      </c>
      <c r="G30" s="30">
        <v>0.4</v>
      </c>
      <c r="H30" s="30">
        <v>0.4</v>
      </c>
      <c r="I30" s="30">
        <v>0.4</v>
      </c>
      <c r="J30" s="30">
        <v>0.4</v>
      </c>
      <c r="L30" s="7" t="s">
        <v>31</v>
      </c>
      <c r="M30" s="8"/>
      <c r="N30" s="8"/>
      <c r="O30" s="8"/>
      <c r="P30" s="9"/>
    </row>
    <row r="31" spans="1:16" x14ac:dyDescent="0.25">
      <c r="A31" s="6" t="str">
        <f>"Gross margin - "&amp;Segment_2</f>
        <v>Gross margin - Wobbles</v>
      </c>
      <c r="B31" s="6"/>
      <c r="D31" s="33">
        <f t="shared" ref="D31:J35" si="18">IFERROR((D8-D24)/D8,"")</f>
        <v>0.54545454545454541</v>
      </c>
      <c r="E31" s="33">
        <f t="shared" si="18"/>
        <v>0.5</v>
      </c>
      <c r="F31" s="30">
        <v>0.55000000000000004</v>
      </c>
      <c r="G31" s="30">
        <v>0.55000000000000004</v>
      </c>
      <c r="H31" s="30">
        <v>0.55000000000000004</v>
      </c>
      <c r="I31" s="30">
        <v>0.55000000000000004</v>
      </c>
      <c r="J31" s="30">
        <v>0.55000000000000004</v>
      </c>
      <c r="L31" s="10" t="s">
        <v>32</v>
      </c>
      <c r="M31" s="25"/>
      <c r="N31" s="25"/>
      <c r="O31" s="25"/>
      <c r="P31" s="11"/>
    </row>
    <row r="32" spans="1:16" ht="15.75" thickBot="1" x14ac:dyDescent="0.3">
      <c r="A32" s="6" t="str">
        <f>"Gross margin - "&amp;Segment_3</f>
        <v>Gross margin - Wizzles</v>
      </c>
      <c r="B32" s="6"/>
      <c r="D32" s="33">
        <f t="shared" si="18"/>
        <v>0.3</v>
      </c>
      <c r="E32" s="33">
        <f t="shared" si="18"/>
        <v>0.25</v>
      </c>
      <c r="F32" s="30">
        <v>0.2</v>
      </c>
      <c r="G32" s="30">
        <v>0.2</v>
      </c>
      <c r="H32" s="30">
        <v>0.2</v>
      </c>
      <c r="I32" s="30">
        <v>0.2</v>
      </c>
      <c r="J32" s="30">
        <v>0.2</v>
      </c>
      <c r="L32" s="12"/>
      <c r="M32" s="13"/>
      <c r="N32" s="13"/>
      <c r="O32" s="13"/>
      <c r="P32" s="14"/>
    </row>
    <row r="33" spans="1:16" x14ac:dyDescent="0.25">
      <c r="A33" s="6" t="str">
        <f>"Gross margin - "&amp;Segment_4</f>
        <v>Gross margin - Wonks</v>
      </c>
      <c r="B33" s="6"/>
      <c r="D33" s="33">
        <f t="shared" si="18"/>
        <v>0.4</v>
      </c>
      <c r="E33" s="33">
        <f t="shared" si="18"/>
        <v>0.41379310344827586</v>
      </c>
      <c r="F33" s="30">
        <v>0.45</v>
      </c>
      <c r="G33" s="30">
        <v>0.5</v>
      </c>
      <c r="H33" s="30">
        <v>0.55000000000000004</v>
      </c>
      <c r="I33" s="30">
        <v>0.55000000000000004</v>
      </c>
      <c r="J33" s="30">
        <v>0.55000000000000004</v>
      </c>
    </row>
    <row r="34" spans="1:16" x14ac:dyDescent="0.25">
      <c r="A34" s="6" t="str">
        <f>"Gross margin - "&amp;Segment_5</f>
        <v>Gross margin - Weebats</v>
      </c>
      <c r="B34" s="6"/>
      <c r="D34" s="33">
        <f t="shared" si="18"/>
        <v>0</v>
      </c>
      <c r="E34" s="33">
        <f t="shared" si="18"/>
        <v>0</v>
      </c>
      <c r="F34" s="31">
        <v>0.05</v>
      </c>
      <c r="G34" s="31">
        <v>0.1</v>
      </c>
      <c r="H34" s="31">
        <v>0.15</v>
      </c>
      <c r="I34" s="31">
        <v>0.25</v>
      </c>
      <c r="J34" s="31">
        <v>0.25</v>
      </c>
    </row>
    <row r="35" spans="1:16" x14ac:dyDescent="0.25">
      <c r="A35" s="21" t="s">
        <v>29</v>
      </c>
      <c r="B35" s="21"/>
      <c r="D35" s="32">
        <f t="shared" si="18"/>
        <v>0.40425531914893614</v>
      </c>
      <c r="E35" s="32">
        <f t="shared" si="18"/>
        <v>0.39591836734693875</v>
      </c>
      <c r="F35" s="32">
        <f t="shared" si="18"/>
        <v>0.40112917795844621</v>
      </c>
      <c r="G35" s="32">
        <f t="shared" si="18"/>
        <v>0.42425320645428222</v>
      </c>
      <c r="H35" s="32">
        <f t="shared" si="18"/>
        <v>0.45173034243470928</v>
      </c>
      <c r="I35" s="32">
        <f t="shared" si="18"/>
        <v>0.46023849183534205</v>
      </c>
      <c r="J35" s="32">
        <f t="shared" si="18"/>
        <v>0.46077330676007966</v>
      </c>
    </row>
    <row r="37" spans="1:16" x14ac:dyDescent="0.25">
      <c r="A37" s="1" t="s">
        <v>30</v>
      </c>
      <c r="B37" s="1"/>
      <c r="D37" s="15">
        <f>D12-D28</f>
        <v>95</v>
      </c>
      <c r="E37" s="15">
        <f t="shared" ref="E37:J37" si="19">E12-E28</f>
        <v>97</v>
      </c>
      <c r="F37" s="15">
        <f t="shared" si="19"/>
        <v>111.01249999999999</v>
      </c>
      <c r="G37" s="15">
        <f t="shared" si="19"/>
        <v>128.17750000000001</v>
      </c>
      <c r="H37" s="15">
        <f t="shared" si="19"/>
        <v>144.51531250000002</v>
      </c>
      <c r="I37" s="15">
        <f t="shared" si="19"/>
        <v>160.60050937500003</v>
      </c>
      <c r="J37" s="15">
        <f t="shared" si="19"/>
        <v>169.83841734375002</v>
      </c>
    </row>
    <row r="39" spans="1:16" x14ac:dyDescent="0.25">
      <c r="A39" s="20" t="s">
        <v>34</v>
      </c>
      <c r="B39" s="20"/>
      <c r="C39" s="20"/>
      <c r="D39" s="20"/>
      <c r="E39" s="20"/>
      <c r="F39" s="20"/>
      <c r="G39" s="20"/>
      <c r="H39" s="20"/>
      <c r="I39" s="20"/>
      <c r="J39" s="20"/>
    </row>
    <row r="41" spans="1:16" ht="15.75" thickBot="1" x14ac:dyDescent="0.3">
      <c r="A41" s="1" t="s">
        <v>52</v>
      </c>
      <c r="B41" s="1" t="s">
        <v>53</v>
      </c>
    </row>
    <row r="42" spans="1:16" x14ac:dyDescent="0.25">
      <c r="A42" s="22" t="s">
        <v>37</v>
      </c>
      <c r="B42" s="28" t="s">
        <v>55</v>
      </c>
      <c r="D42" s="5">
        <v>10</v>
      </c>
      <c r="E42" s="5">
        <v>10</v>
      </c>
      <c r="F42" s="35">
        <f>IF($B42="% growth",E42*(1+F54),F54*F$12)</f>
        <v>11.6235</v>
      </c>
      <c r="G42" s="35">
        <f t="shared" ref="F42:J51" si="20">IF($B42="% growth",F42*(1+G54),G54*G$12)</f>
        <v>12.387125000000001</v>
      </c>
      <c r="H42" s="35">
        <f t="shared" si="20"/>
        <v>12.796600000000002</v>
      </c>
      <c r="I42" s="35">
        <f t="shared" si="20"/>
        <v>13.958025000000003</v>
      </c>
      <c r="J42" s="35">
        <f t="shared" si="20"/>
        <v>14.743772250000003</v>
      </c>
      <c r="L42" s="7" t="s">
        <v>51</v>
      </c>
      <c r="M42" s="8"/>
      <c r="N42" s="8"/>
      <c r="O42" s="8"/>
      <c r="P42" s="9"/>
    </row>
    <row r="43" spans="1:16" x14ac:dyDescent="0.25">
      <c r="A43" s="22" t="s">
        <v>38</v>
      </c>
      <c r="B43" s="28" t="s">
        <v>55</v>
      </c>
      <c r="D43" s="5">
        <v>10</v>
      </c>
      <c r="E43" s="5">
        <v>10</v>
      </c>
      <c r="F43" s="35">
        <f t="shared" si="20"/>
        <v>12.453749999999999</v>
      </c>
      <c r="G43" s="35">
        <f t="shared" si="20"/>
        <v>15.106250000000001</v>
      </c>
      <c r="H43" s="35">
        <f t="shared" si="20"/>
        <v>15.995750000000001</v>
      </c>
      <c r="I43" s="35">
        <f t="shared" si="20"/>
        <v>17.447531250000004</v>
      </c>
      <c r="J43" s="35">
        <f t="shared" si="20"/>
        <v>18.429715312500004</v>
      </c>
      <c r="L43" s="10" t="s">
        <v>47</v>
      </c>
      <c r="M43" s="25"/>
      <c r="N43" s="25"/>
      <c r="O43" s="25"/>
      <c r="P43" s="11"/>
    </row>
    <row r="44" spans="1:16" x14ac:dyDescent="0.25">
      <c r="A44" s="22" t="s">
        <v>39</v>
      </c>
      <c r="B44" s="28" t="s">
        <v>55</v>
      </c>
      <c r="D44" s="5">
        <v>5</v>
      </c>
      <c r="E44" s="5">
        <v>5</v>
      </c>
      <c r="F44" s="35">
        <f t="shared" si="20"/>
        <v>5.5350000000000001</v>
      </c>
      <c r="G44" s="35">
        <f t="shared" si="20"/>
        <v>6.0425000000000004</v>
      </c>
      <c r="H44" s="35">
        <f t="shared" si="20"/>
        <v>6.3983000000000008</v>
      </c>
      <c r="I44" s="35">
        <f t="shared" si="20"/>
        <v>6.9790125000000014</v>
      </c>
      <c r="J44" s="35">
        <f t="shared" si="20"/>
        <v>7.3718861250000014</v>
      </c>
      <c r="L44" s="10" t="s">
        <v>56</v>
      </c>
      <c r="M44" s="25"/>
      <c r="N44" s="25"/>
      <c r="O44" s="25"/>
      <c r="P44" s="11"/>
    </row>
    <row r="45" spans="1:16" x14ac:dyDescent="0.25">
      <c r="A45" s="22" t="s">
        <v>40</v>
      </c>
      <c r="B45" s="28" t="s">
        <v>54</v>
      </c>
      <c r="D45" s="5">
        <v>5</v>
      </c>
      <c r="E45" s="5">
        <v>5</v>
      </c>
      <c r="F45" s="35">
        <f t="shared" si="20"/>
        <v>5.125</v>
      </c>
      <c r="G45" s="35">
        <f t="shared" si="20"/>
        <v>5.2531249999999998</v>
      </c>
      <c r="H45" s="35">
        <f t="shared" si="20"/>
        <v>5.3844531249999994</v>
      </c>
      <c r="I45" s="35">
        <f t="shared" si="20"/>
        <v>5.519064453124999</v>
      </c>
      <c r="J45" s="35">
        <f t="shared" si="20"/>
        <v>5.6570410644531233</v>
      </c>
      <c r="L45" s="10" t="s">
        <v>49</v>
      </c>
      <c r="M45" s="25"/>
      <c r="N45" s="25"/>
      <c r="O45" s="25"/>
      <c r="P45" s="11"/>
    </row>
    <row r="46" spans="1:16" ht="15.75" thickBot="1" x14ac:dyDescent="0.3">
      <c r="A46" s="22" t="s">
        <v>41</v>
      </c>
      <c r="B46" s="28" t="s">
        <v>54</v>
      </c>
      <c r="D46" s="5">
        <v>5</v>
      </c>
      <c r="E46" s="5">
        <v>5</v>
      </c>
      <c r="F46" s="35">
        <f t="shared" si="20"/>
        <v>5.125</v>
      </c>
      <c r="G46" s="35">
        <f t="shared" si="20"/>
        <v>5.2531249999999998</v>
      </c>
      <c r="H46" s="35">
        <f t="shared" si="20"/>
        <v>5.3844531249999994</v>
      </c>
      <c r="I46" s="35">
        <f t="shared" si="20"/>
        <v>5.519064453124999</v>
      </c>
      <c r="J46" s="35">
        <f t="shared" si="20"/>
        <v>5.6570410644531233</v>
      </c>
      <c r="L46" s="12"/>
      <c r="M46" s="13"/>
      <c r="N46" s="13"/>
      <c r="O46" s="13"/>
      <c r="P46" s="14"/>
    </row>
    <row r="47" spans="1:16" x14ac:dyDescent="0.25">
      <c r="A47" s="22" t="s">
        <v>42</v>
      </c>
      <c r="B47" s="28" t="s">
        <v>54</v>
      </c>
      <c r="D47" s="5">
        <v>5</v>
      </c>
      <c r="E47" s="5">
        <v>5</v>
      </c>
      <c r="F47" s="35">
        <f t="shared" si="20"/>
        <v>5.125</v>
      </c>
      <c r="G47" s="35">
        <f t="shared" si="20"/>
        <v>5.2531249999999998</v>
      </c>
      <c r="H47" s="35">
        <f t="shared" si="20"/>
        <v>5.3844531249999994</v>
      </c>
      <c r="I47" s="35">
        <f t="shared" si="20"/>
        <v>5.519064453124999</v>
      </c>
      <c r="J47" s="35">
        <f t="shared" si="20"/>
        <v>5.6570410644531233</v>
      </c>
    </row>
    <row r="48" spans="1:16" x14ac:dyDescent="0.25">
      <c r="A48" s="22" t="s">
        <v>43</v>
      </c>
      <c r="B48" s="28" t="s">
        <v>54</v>
      </c>
      <c r="D48" s="5">
        <v>5</v>
      </c>
      <c r="E48" s="5">
        <v>5</v>
      </c>
      <c r="F48" s="35">
        <f t="shared" si="20"/>
        <v>5.125</v>
      </c>
      <c r="G48" s="35">
        <f t="shared" si="20"/>
        <v>5.2531249999999998</v>
      </c>
      <c r="H48" s="35">
        <f t="shared" si="20"/>
        <v>5.3844531249999994</v>
      </c>
      <c r="I48" s="35">
        <f t="shared" si="20"/>
        <v>5.519064453124999</v>
      </c>
      <c r="J48" s="35">
        <f t="shared" si="20"/>
        <v>5.6570410644531233</v>
      </c>
    </row>
    <row r="49" spans="1:10" x14ac:dyDescent="0.25">
      <c r="A49" s="22" t="s">
        <v>44</v>
      </c>
      <c r="B49" s="28" t="s">
        <v>54</v>
      </c>
      <c r="D49" s="5">
        <v>2</v>
      </c>
      <c r="E49" s="5">
        <v>3</v>
      </c>
      <c r="F49" s="35">
        <f t="shared" si="20"/>
        <v>3.0749999999999997</v>
      </c>
      <c r="G49" s="35">
        <f t="shared" si="20"/>
        <v>3.1518749999999995</v>
      </c>
      <c r="H49" s="35">
        <f t="shared" si="20"/>
        <v>3.2306718749999992</v>
      </c>
      <c r="I49" s="35">
        <f t="shared" si="20"/>
        <v>3.3114386718749991</v>
      </c>
      <c r="J49" s="35">
        <f t="shared" si="20"/>
        <v>3.394224638671874</v>
      </c>
    </row>
    <row r="50" spans="1:10" x14ac:dyDescent="0.25">
      <c r="A50" s="22" t="s">
        <v>45</v>
      </c>
      <c r="B50" s="28" t="s">
        <v>54</v>
      </c>
      <c r="D50" s="5">
        <v>2</v>
      </c>
      <c r="E50" s="5">
        <v>3</v>
      </c>
      <c r="F50" s="35">
        <f t="shared" si="20"/>
        <v>3.0749999999999997</v>
      </c>
      <c r="G50" s="35">
        <f t="shared" si="20"/>
        <v>3.1518749999999995</v>
      </c>
      <c r="H50" s="35">
        <f t="shared" si="20"/>
        <v>3.2306718749999992</v>
      </c>
      <c r="I50" s="35">
        <f t="shared" si="20"/>
        <v>3.3114386718749991</v>
      </c>
      <c r="J50" s="35">
        <f t="shared" si="20"/>
        <v>3.394224638671874</v>
      </c>
    </row>
    <row r="51" spans="1:10" x14ac:dyDescent="0.25">
      <c r="A51" s="22" t="s">
        <v>46</v>
      </c>
      <c r="B51" s="28" t="s">
        <v>54</v>
      </c>
      <c r="D51" s="5">
        <v>1</v>
      </c>
      <c r="E51" s="5">
        <v>1</v>
      </c>
      <c r="F51" s="35">
        <f t="shared" si="20"/>
        <v>1.0249999999999999</v>
      </c>
      <c r="G51" s="35">
        <f t="shared" si="20"/>
        <v>1.0506249999999999</v>
      </c>
      <c r="H51" s="35">
        <f t="shared" si="20"/>
        <v>1.0768906249999999</v>
      </c>
      <c r="I51" s="35">
        <f t="shared" si="20"/>
        <v>1.1038128906249998</v>
      </c>
      <c r="J51" s="35">
        <f t="shared" si="20"/>
        <v>1.1314082128906247</v>
      </c>
    </row>
    <row r="52" spans="1:10" x14ac:dyDescent="0.25">
      <c r="A52" s="1" t="s">
        <v>35</v>
      </c>
      <c r="B52" s="1"/>
      <c r="D52" s="24">
        <f>SUM(D42:D51)</f>
        <v>50</v>
      </c>
      <c r="E52" s="24">
        <f t="shared" ref="E52:J52" si="21">SUM(E42:E51)</f>
        <v>52</v>
      </c>
      <c r="F52" s="24">
        <f t="shared" si="21"/>
        <v>57.287250000000007</v>
      </c>
      <c r="G52" s="24">
        <f t="shared" si="21"/>
        <v>61.902749999999983</v>
      </c>
      <c r="H52" s="24">
        <f t="shared" si="21"/>
        <v>64.266696875000008</v>
      </c>
      <c r="I52" s="24">
        <f t="shared" si="21"/>
        <v>68.187516796874988</v>
      </c>
      <c r="J52" s="24">
        <f t="shared" si="21"/>
        <v>71.093395435546881</v>
      </c>
    </row>
    <row r="54" spans="1:10" x14ac:dyDescent="0.25">
      <c r="A54" t="str">
        <f>A42&amp;" - "&amp;B42</f>
        <v>Expense 1 - % of sales</v>
      </c>
      <c r="D54" s="34">
        <f t="shared" ref="D54:D63" si="22">IF($B42="% growth","n/a",D42/D$12)</f>
        <v>4.2553191489361701E-2</v>
      </c>
      <c r="E54" s="34">
        <f t="shared" ref="E54:E63" si="23">IF($B42="% growth",E42/D42-1,E42/E$12)</f>
        <v>4.0816326530612242E-2</v>
      </c>
      <c r="F54" s="29">
        <v>4.2000000000000003E-2</v>
      </c>
      <c r="G54" s="29">
        <v>4.1000000000000002E-2</v>
      </c>
      <c r="H54" s="29">
        <v>0.04</v>
      </c>
      <c r="I54" s="29">
        <v>0.04</v>
      </c>
      <c r="J54" s="29">
        <v>0.04</v>
      </c>
    </row>
    <row r="55" spans="1:10" x14ac:dyDescent="0.25">
      <c r="A55" t="str">
        <f t="shared" ref="A55:A63" si="24">A43&amp;" - "&amp;B43</f>
        <v>Expense 2 - % of sales</v>
      </c>
      <c r="D55" s="34">
        <f t="shared" si="22"/>
        <v>4.2553191489361701E-2</v>
      </c>
      <c r="E55" s="34">
        <f t="shared" si="23"/>
        <v>4.0816326530612242E-2</v>
      </c>
      <c r="F55" s="29">
        <v>4.4999999999999998E-2</v>
      </c>
      <c r="G55" s="29">
        <v>0.05</v>
      </c>
      <c r="H55" s="29">
        <v>0.05</v>
      </c>
      <c r="I55" s="29">
        <v>0.05</v>
      </c>
      <c r="J55" s="29">
        <v>0.05</v>
      </c>
    </row>
    <row r="56" spans="1:10" x14ac:dyDescent="0.25">
      <c r="A56" t="str">
        <f t="shared" si="24"/>
        <v>Expense 3 - % of sales</v>
      </c>
      <c r="D56" s="34">
        <f t="shared" si="22"/>
        <v>2.1276595744680851E-2</v>
      </c>
      <c r="E56" s="34">
        <f t="shared" si="23"/>
        <v>2.0408163265306121E-2</v>
      </c>
      <c r="F56" s="29">
        <v>0.02</v>
      </c>
      <c r="G56" s="29">
        <v>0.02</v>
      </c>
      <c r="H56" s="29">
        <v>0.02</v>
      </c>
      <c r="I56" s="29">
        <v>0.02</v>
      </c>
      <c r="J56" s="29">
        <v>0.02</v>
      </c>
    </row>
    <row r="57" spans="1:10" x14ac:dyDescent="0.25">
      <c r="A57" t="str">
        <f t="shared" si="24"/>
        <v>Expense 4 - % growth</v>
      </c>
      <c r="D57" s="34" t="str">
        <f t="shared" si="22"/>
        <v>n/a</v>
      </c>
      <c r="E57" s="34">
        <f t="shared" si="23"/>
        <v>0</v>
      </c>
      <c r="F57" s="29">
        <v>2.5000000000000001E-2</v>
      </c>
      <c r="G57" s="29">
        <v>2.5000000000000001E-2</v>
      </c>
      <c r="H57" s="29">
        <v>2.5000000000000001E-2</v>
      </c>
      <c r="I57" s="29">
        <v>2.5000000000000001E-2</v>
      </c>
      <c r="J57" s="29">
        <v>2.5000000000000001E-2</v>
      </c>
    </row>
    <row r="58" spans="1:10" x14ac:dyDescent="0.25">
      <c r="A58" t="str">
        <f t="shared" si="24"/>
        <v>Expense 5 - % growth</v>
      </c>
      <c r="D58" s="34" t="str">
        <f t="shared" si="22"/>
        <v>n/a</v>
      </c>
      <c r="E58" s="34">
        <f t="shared" si="23"/>
        <v>0</v>
      </c>
      <c r="F58" s="29">
        <v>2.5000000000000001E-2</v>
      </c>
      <c r="G58" s="29">
        <v>2.5000000000000001E-2</v>
      </c>
      <c r="H58" s="29">
        <v>2.5000000000000001E-2</v>
      </c>
      <c r="I58" s="29">
        <v>2.5000000000000001E-2</v>
      </c>
      <c r="J58" s="29">
        <v>2.5000000000000001E-2</v>
      </c>
    </row>
    <row r="59" spans="1:10" x14ac:dyDescent="0.25">
      <c r="A59" t="str">
        <f t="shared" si="24"/>
        <v>Expense 6 - % growth</v>
      </c>
      <c r="D59" s="34" t="str">
        <f t="shared" si="22"/>
        <v>n/a</v>
      </c>
      <c r="E59" s="34">
        <f t="shared" si="23"/>
        <v>0</v>
      </c>
      <c r="F59" s="29">
        <v>2.5000000000000001E-2</v>
      </c>
      <c r="G59" s="29">
        <v>2.5000000000000001E-2</v>
      </c>
      <c r="H59" s="29">
        <v>2.5000000000000001E-2</v>
      </c>
      <c r="I59" s="29">
        <v>2.5000000000000001E-2</v>
      </c>
      <c r="J59" s="29">
        <v>2.5000000000000001E-2</v>
      </c>
    </row>
    <row r="60" spans="1:10" x14ac:dyDescent="0.25">
      <c r="A60" t="str">
        <f t="shared" si="24"/>
        <v>Expense 7 - % growth</v>
      </c>
      <c r="D60" s="34" t="str">
        <f t="shared" si="22"/>
        <v>n/a</v>
      </c>
      <c r="E60" s="34">
        <f t="shared" si="23"/>
        <v>0</v>
      </c>
      <c r="F60" s="29">
        <v>2.5000000000000001E-2</v>
      </c>
      <c r="G60" s="29">
        <v>2.5000000000000001E-2</v>
      </c>
      <c r="H60" s="29">
        <v>2.5000000000000001E-2</v>
      </c>
      <c r="I60" s="29">
        <v>2.5000000000000001E-2</v>
      </c>
      <c r="J60" s="29">
        <v>2.5000000000000001E-2</v>
      </c>
    </row>
    <row r="61" spans="1:10" x14ac:dyDescent="0.25">
      <c r="A61" t="str">
        <f t="shared" si="24"/>
        <v>Expense 8 - % growth</v>
      </c>
      <c r="D61" s="34" t="str">
        <f t="shared" si="22"/>
        <v>n/a</v>
      </c>
      <c r="E61" s="34">
        <f t="shared" si="23"/>
        <v>0.5</v>
      </c>
      <c r="F61" s="29">
        <v>2.5000000000000001E-2</v>
      </c>
      <c r="G61" s="29">
        <v>2.5000000000000001E-2</v>
      </c>
      <c r="H61" s="29">
        <v>2.5000000000000001E-2</v>
      </c>
      <c r="I61" s="29">
        <v>2.5000000000000001E-2</v>
      </c>
      <c r="J61" s="29">
        <v>2.5000000000000001E-2</v>
      </c>
    </row>
    <row r="62" spans="1:10" x14ac:dyDescent="0.25">
      <c r="A62" t="str">
        <f t="shared" si="24"/>
        <v>Expense 9 - % growth</v>
      </c>
      <c r="D62" s="34" t="str">
        <f t="shared" si="22"/>
        <v>n/a</v>
      </c>
      <c r="E62" s="34">
        <f t="shared" si="23"/>
        <v>0.5</v>
      </c>
      <c r="F62" s="29">
        <v>2.5000000000000001E-2</v>
      </c>
      <c r="G62" s="29">
        <v>2.5000000000000001E-2</v>
      </c>
      <c r="H62" s="29">
        <v>2.5000000000000001E-2</v>
      </c>
      <c r="I62" s="29">
        <v>2.5000000000000001E-2</v>
      </c>
      <c r="J62" s="29">
        <v>2.5000000000000001E-2</v>
      </c>
    </row>
    <row r="63" spans="1:10" x14ac:dyDescent="0.25">
      <c r="A63" t="str">
        <f t="shared" si="24"/>
        <v>Expense 10 - % growth</v>
      </c>
      <c r="D63" s="34" t="str">
        <f t="shared" si="22"/>
        <v>n/a</v>
      </c>
      <c r="E63" s="34">
        <f t="shared" si="23"/>
        <v>0</v>
      </c>
      <c r="F63" s="29">
        <v>2.5000000000000001E-2</v>
      </c>
      <c r="G63" s="29">
        <v>2.5000000000000001E-2</v>
      </c>
      <c r="H63" s="29">
        <v>2.5000000000000001E-2</v>
      </c>
      <c r="I63" s="29">
        <v>2.5000000000000001E-2</v>
      </c>
      <c r="J63" s="29">
        <v>2.5000000000000001E-2</v>
      </c>
    </row>
    <row r="65" spans="1:16" x14ac:dyDescent="0.25">
      <c r="A65" s="6" t="s">
        <v>36</v>
      </c>
      <c r="B65" s="6"/>
      <c r="D65" s="33">
        <f t="shared" ref="D65:J65" si="25">D52/D12</f>
        <v>0.21276595744680851</v>
      </c>
      <c r="E65" s="33">
        <f t="shared" si="25"/>
        <v>0.21224489795918366</v>
      </c>
      <c r="F65" s="33">
        <f t="shared" si="25"/>
        <v>0.20700000000000002</v>
      </c>
      <c r="G65" s="33">
        <f t="shared" si="25"/>
        <v>0.20489118742242443</v>
      </c>
      <c r="H65" s="33">
        <f t="shared" si="25"/>
        <v>0.20088678828751388</v>
      </c>
      <c r="I65" s="33">
        <f t="shared" si="25"/>
        <v>0.19540734966981355</v>
      </c>
      <c r="J65" s="33">
        <f t="shared" si="25"/>
        <v>0.19287708526709471</v>
      </c>
    </row>
    <row r="67" spans="1:16" x14ac:dyDescent="0.25">
      <c r="A67" s="1" t="s">
        <v>48</v>
      </c>
      <c r="B67" s="1"/>
      <c r="D67" s="15">
        <f t="shared" ref="D67:J67" si="26">D37-D52</f>
        <v>45</v>
      </c>
      <c r="E67" s="15">
        <f t="shared" si="26"/>
        <v>45</v>
      </c>
      <c r="F67" s="15">
        <f t="shared" si="26"/>
        <v>53.725249999999981</v>
      </c>
      <c r="G67" s="15">
        <f t="shared" si="26"/>
        <v>66.274750000000026</v>
      </c>
      <c r="H67" s="15">
        <f t="shared" si="26"/>
        <v>80.248615625000014</v>
      </c>
      <c r="I67" s="15">
        <f t="shared" si="26"/>
        <v>92.412992578125042</v>
      </c>
      <c r="J67" s="15">
        <f t="shared" si="26"/>
        <v>98.745021908203142</v>
      </c>
    </row>
    <row r="68" spans="1:16" x14ac:dyDescent="0.25">
      <c r="A68" s="6" t="s">
        <v>50</v>
      </c>
      <c r="B68" s="6"/>
      <c r="D68" s="27">
        <f t="shared" ref="D68:J68" si="27">D67/D12</f>
        <v>0.19148936170212766</v>
      </c>
      <c r="E68" s="27">
        <f t="shared" si="27"/>
        <v>0.18367346938775511</v>
      </c>
      <c r="F68" s="27">
        <f t="shared" si="27"/>
        <v>0.1941291779584462</v>
      </c>
      <c r="G68" s="27">
        <f t="shared" si="27"/>
        <v>0.21936201903185776</v>
      </c>
      <c r="H68" s="27">
        <f t="shared" si="27"/>
        <v>0.25084355414719539</v>
      </c>
      <c r="I68" s="27">
        <f t="shared" si="27"/>
        <v>0.2648311421655285</v>
      </c>
      <c r="J68" s="27">
        <f t="shared" si="27"/>
        <v>0.26789622149298498</v>
      </c>
    </row>
    <row r="70" spans="1:16" x14ac:dyDescent="0.25">
      <c r="A70" s="20" t="s">
        <v>57</v>
      </c>
      <c r="B70" s="20"/>
      <c r="C70" s="20"/>
      <c r="D70" s="20"/>
      <c r="E70" s="20"/>
      <c r="F70" s="20"/>
      <c r="G70" s="20"/>
      <c r="H70" s="20"/>
      <c r="I70" s="20"/>
      <c r="J70" s="20"/>
    </row>
    <row r="71" spans="1:16" ht="15.75" thickBot="1" x14ac:dyDescent="0.3"/>
    <row r="72" spans="1:16" x14ac:dyDescent="0.25">
      <c r="A72" t="s">
        <v>64</v>
      </c>
      <c r="D72" s="5">
        <v>100</v>
      </c>
      <c r="E72" s="26">
        <f>D75</f>
        <v>110</v>
      </c>
      <c r="F72" s="26">
        <f>E75</f>
        <v>115</v>
      </c>
      <c r="G72" s="26">
        <f t="shared" ref="G72:J72" si="28">F75</f>
        <v>107.75</v>
      </c>
      <c r="H72" s="26">
        <f t="shared" si="28"/>
        <v>101.58750000000001</v>
      </c>
      <c r="I72" s="26">
        <f t="shared" si="28"/>
        <v>97.349375000000009</v>
      </c>
      <c r="J72" s="26">
        <f t="shared" si="28"/>
        <v>93.746968750000008</v>
      </c>
      <c r="L72" s="7" t="s">
        <v>51</v>
      </c>
      <c r="M72" s="8"/>
      <c r="N72" s="8"/>
      <c r="O72" s="8"/>
      <c r="P72" s="9"/>
    </row>
    <row r="73" spans="1:16" ht="15.75" thickBot="1" x14ac:dyDescent="0.3">
      <c r="A73" t="s">
        <v>58</v>
      </c>
      <c r="D73" s="26">
        <f>D75-D72+D74</f>
        <v>20</v>
      </c>
      <c r="E73" s="26">
        <f>E75-E72+E74</f>
        <v>14</v>
      </c>
      <c r="F73" s="5">
        <v>10</v>
      </c>
      <c r="G73" s="5">
        <v>10</v>
      </c>
      <c r="H73" s="5">
        <v>11</v>
      </c>
      <c r="I73" s="5">
        <v>11</v>
      </c>
      <c r="J73" s="5">
        <v>11</v>
      </c>
      <c r="L73" s="12" t="s">
        <v>191</v>
      </c>
      <c r="M73" s="13"/>
      <c r="N73" s="13"/>
      <c r="O73" s="13"/>
      <c r="P73" s="14"/>
    </row>
    <row r="74" spans="1:16" x14ac:dyDescent="0.25">
      <c r="A74" t="s">
        <v>59</v>
      </c>
      <c r="D74" s="5">
        <v>10</v>
      </c>
      <c r="E74" s="5">
        <v>9</v>
      </c>
      <c r="F74" s="23">
        <f>F72*F77</f>
        <v>17.25</v>
      </c>
      <c r="G74" s="23">
        <f t="shared" ref="G74:J74" si="29">G72*G77</f>
        <v>16.162499999999998</v>
      </c>
      <c r="H74" s="23">
        <f t="shared" si="29"/>
        <v>15.238125</v>
      </c>
      <c r="I74" s="23">
        <f t="shared" si="29"/>
        <v>14.602406250000001</v>
      </c>
      <c r="J74" s="23">
        <f t="shared" si="29"/>
        <v>14.0620453125</v>
      </c>
    </row>
    <row r="75" spans="1:16" x14ac:dyDescent="0.25">
      <c r="A75" t="s">
        <v>60</v>
      </c>
      <c r="D75" s="5">
        <v>110</v>
      </c>
      <c r="E75" s="5">
        <v>115</v>
      </c>
      <c r="F75" s="26">
        <f>F72+F73-F74</f>
        <v>107.75</v>
      </c>
      <c r="G75" s="26">
        <f t="shared" ref="G75:J75" si="30">G72+G73-G74</f>
        <v>101.58750000000001</v>
      </c>
      <c r="H75" s="26">
        <f t="shared" si="30"/>
        <v>97.349375000000009</v>
      </c>
      <c r="I75" s="26">
        <f t="shared" si="30"/>
        <v>93.746968750000008</v>
      </c>
      <c r="J75" s="26">
        <f t="shared" si="30"/>
        <v>90.684923437500004</v>
      </c>
    </row>
    <row r="77" spans="1:16" x14ac:dyDescent="0.25">
      <c r="A77" s="6" t="s">
        <v>63</v>
      </c>
      <c r="D77" s="27">
        <f>D74/D72</f>
        <v>0.1</v>
      </c>
      <c r="E77" s="27">
        <f t="shared" ref="E77" si="31">E74/E72</f>
        <v>8.1818181818181818E-2</v>
      </c>
      <c r="F77" s="30">
        <v>0.15</v>
      </c>
      <c r="G77" s="30">
        <v>0.15</v>
      </c>
      <c r="H77" s="30">
        <v>0.15</v>
      </c>
      <c r="I77" s="30">
        <v>0.15</v>
      </c>
      <c r="J77" s="30">
        <v>0.15</v>
      </c>
    </row>
    <row r="78" spans="1:16" x14ac:dyDescent="0.25">
      <c r="A78" s="6" t="s">
        <v>62</v>
      </c>
      <c r="D78" s="27">
        <f t="shared" ref="D78:J78" si="32">D73/D12</f>
        <v>8.5106382978723402E-2</v>
      </c>
      <c r="E78" s="27">
        <f t="shared" si="32"/>
        <v>5.7142857142857141E-2</v>
      </c>
      <c r="F78" s="27">
        <f t="shared" si="32"/>
        <v>3.6133694670280034E-2</v>
      </c>
      <c r="G78" s="27">
        <f t="shared" si="32"/>
        <v>3.3098882912701695E-2</v>
      </c>
      <c r="H78" s="27">
        <f t="shared" si="32"/>
        <v>3.4384133285403934E-2</v>
      </c>
      <c r="I78" s="27">
        <f t="shared" si="32"/>
        <v>3.1523084390520859E-2</v>
      </c>
      <c r="J78" s="27">
        <f t="shared" si="32"/>
        <v>2.984310884210789E-2</v>
      </c>
    </row>
    <row r="79" spans="1:16" x14ac:dyDescent="0.25">
      <c r="A79" s="6" t="s">
        <v>61</v>
      </c>
      <c r="D79" s="36">
        <f t="shared" ref="D79:J79" si="33">(D75+D72)/(2*D12)</f>
        <v>0.44680851063829785</v>
      </c>
      <c r="E79" s="36">
        <f t="shared" si="33"/>
        <v>0.45918367346938777</v>
      </c>
      <c r="F79" s="36">
        <f t="shared" si="33"/>
        <v>0.40243902439024393</v>
      </c>
      <c r="G79" s="36">
        <f t="shared" si="33"/>
        <v>0.3464418700868846</v>
      </c>
      <c r="H79" s="36">
        <f t="shared" si="33"/>
        <v>0.31092145569917007</v>
      </c>
      <c r="I79" s="36">
        <f t="shared" si="33"/>
        <v>0.27381573503414702</v>
      </c>
      <c r="J79" s="36">
        <f t="shared" si="33"/>
        <v>0.25018277420488505</v>
      </c>
    </row>
    <row r="80" spans="1:16" x14ac:dyDescent="0.25">
      <c r="A80" s="6"/>
      <c r="D80" s="36"/>
      <c r="E80" s="36"/>
      <c r="F80" s="36"/>
      <c r="G80" s="36"/>
      <c r="H80" s="36"/>
      <c r="I80" s="36"/>
      <c r="J80" s="36"/>
    </row>
    <row r="81" spans="1:16" ht="15.75" thickBot="1" x14ac:dyDescent="0.3">
      <c r="A81" s="2" t="s">
        <v>100</v>
      </c>
      <c r="D81" s="5">
        <v>10</v>
      </c>
      <c r="E81" s="26">
        <f>D84</f>
        <v>8</v>
      </c>
      <c r="F81" s="26">
        <f>E84</f>
        <v>7</v>
      </c>
      <c r="G81" s="26">
        <f t="shared" ref="G81" si="34">F84</f>
        <v>15</v>
      </c>
      <c r="H81" s="26">
        <f t="shared" ref="H81" si="35">G84</f>
        <v>13</v>
      </c>
      <c r="I81" s="26">
        <f t="shared" ref="I81" si="36">H84</f>
        <v>11</v>
      </c>
      <c r="J81" s="26">
        <f t="shared" ref="J81" si="37">I84</f>
        <v>9</v>
      </c>
    </row>
    <row r="82" spans="1:16" x14ac:dyDescent="0.25">
      <c r="A82" s="2" t="s">
        <v>101</v>
      </c>
      <c r="D82" s="26">
        <f>D84-D81+D83</f>
        <v>0</v>
      </c>
      <c r="E82" s="26">
        <f>E84-E81+E83</f>
        <v>1</v>
      </c>
      <c r="F82" s="5">
        <v>10</v>
      </c>
      <c r="G82" s="5">
        <v>0</v>
      </c>
      <c r="H82" s="5">
        <v>0</v>
      </c>
      <c r="I82" s="5">
        <v>0</v>
      </c>
      <c r="J82" s="5">
        <v>0</v>
      </c>
      <c r="L82" s="7" t="s">
        <v>51</v>
      </c>
      <c r="M82" s="8"/>
      <c r="N82" s="8"/>
      <c r="O82" s="8"/>
      <c r="P82" s="9"/>
    </row>
    <row r="83" spans="1:16" ht="15.75" thickBot="1" x14ac:dyDescent="0.3">
      <c r="A83" s="2" t="s">
        <v>89</v>
      </c>
      <c r="D83" s="5">
        <v>2</v>
      </c>
      <c r="E83" s="5">
        <v>2</v>
      </c>
      <c r="F83" s="5">
        <v>2</v>
      </c>
      <c r="G83" s="5">
        <v>2</v>
      </c>
      <c r="H83" s="5">
        <v>2</v>
      </c>
      <c r="I83" s="5">
        <v>2</v>
      </c>
      <c r="J83" s="5">
        <v>2</v>
      </c>
      <c r="L83" s="12" t="s">
        <v>192</v>
      </c>
      <c r="M83" s="13"/>
      <c r="N83" s="13"/>
      <c r="O83" s="13"/>
      <c r="P83" s="14"/>
    </row>
    <row r="84" spans="1:16" x14ac:dyDescent="0.25">
      <c r="A84" s="2" t="s">
        <v>102</v>
      </c>
      <c r="D84" s="5">
        <v>8</v>
      </c>
      <c r="E84" s="5">
        <v>7</v>
      </c>
      <c r="F84" s="26">
        <f>F81+F82-F83</f>
        <v>15</v>
      </c>
      <c r="G84" s="26">
        <f t="shared" ref="G84:J84" si="38">G81+G82-G83</f>
        <v>13</v>
      </c>
      <c r="H84" s="26">
        <f t="shared" si="38"/>
        <v>11</v>
      </c>
      <c r="I84" s="26">
        <f t="shared" si="38"/>
        <v>9</v>
      </c>
      <c r="J84" s="26">
        <f t="shared" si="38"/>
        <v>7</v>
      </c>
    </row>
    <row r="86" spans="1:16" x14ac:dyDescent="0.25">
      <c r="A86" s="20" t="s">
        <v>65</v>
      </c>
      <c r="B86" s="20"/>
      <c r="C86" s="20"/>
      <c r="D86" s="20"/>
      <c r="E86" s="20"/>
      <c r="F86" s="20"/>
      <c r="G86" s="20"/>
      <c r="H86" s="20"/>
      <c r="I86" s="20"/>
      <c r="J86" s="20"/>
    </row>
    <row r="87" spans="1:16" ht="15.75" thickBot="1" x14ac:dyDescent="0.3"/>
    <row r="88" spans="1:16" x14ac:dyDescent="0.25">
      <c r="A88" t="s">
        <v>66</v>
      </c>
      <c r="D88" s="5">
        <v>20</v>
      </c>
      <c r="E88" s="5">
        <v>22</v>
      </c>
      <c r="F88" s="26">
        <f>F93*F12/365</f>
        <v>22.746575342465754</v>
      </c>
      <c r="G88" s="26">
        <f>G93*G12/365</f>
        <v>24.832191780821919</v>
      </c>
      <c r="H88" s="26">
        <f>H93*H12/365</f>
        <v>26.294383561643837</v>
      </c>
      <c r="I88" s="26">
        <f>I93*I12/365</f>
        <v>28.680873287671236</v>
      </c>
      <c r="J88" s="26">
        <f>J93*J12/365</f>
        <v>30.295422431506854</v>
      </c>
      <c r="L88" s="7" t="s">
        <v>51</v>
      </c>
      <c r="M88" s="8"/>
      <c r="N88" s="8"/>
      <c r="O88" s="8"/>
      <c r="P88" s="9"/>
    </row>
    <row r="89" spans="1:16" x14ac:dyDescent="0.25">
      <c r="A89" t="s">
        <v>67</v>
      </c>
      <c r="D89" s="5">
        <v>31</v>
      </c>
      <c r="E89" s="5">
        <v>33</v>
      </c>
      <c r="F89" s="26">
        <f>IF($B94="COGS",F94*F28/365,F94*F12/365)</f>
        <v>36.780102739726033</v>
      </c>
      <c r="G89" s="26">
        <f>IF($B94="COGS",G94*G28/365,G94*G12/365)</f>
        <v>38.602047945205477</v>
      </c>
      <c r="H89" s="26">
        <f>IF($B94="COGS",H94*H28/365,H94*H12/365)</f>
        <v>38.924314212328767</v>
      </c>
      <c r="I89" s="26">
        <f>IF($B94="COGS",I94*I28/365,I94*I12/365)</f>
        <v>41.798244837328774</v>
      </c>
      <c r="J89" s="26">
        <f>IF($B94="COGS",J94*J28/365,J94*J12/365)</f>
        <v>44.107471236729459</v>
      </c>
      <c r="L89" s="10" t="s">
        <v>74</v>
      </c>
      <c r="M89" s="37"/>
      <c r="N89" s="37"/>
      <c r="O89" s="37"/>
      <c r="P89" s="11"/>
    </row>
    <row r="90" spans="1:16" x14ac:dyDescent="0.25">
      <c r="A90" t="s">
        <v>68</v>
      </c>
      <c r="D90" s="5">
        <v>40</v>
      </c>
      <c r="E90" s="5">
        <v>38</v>
      </c>
      <c r="F90" s="26">
        <f>IF($B95="COGS",F95*F28/365,F95*(F28+F52)/365)</f>
        <v>42.771869863013698</v>
      </c>
      <c r="G90" s="26">
        <f>IF($B95="COGS",G95*G28/365,G95*(G28+G52)/365)</f>
        <v>45.231554794520541</v>
      </c>
      <c r="H90" s="26">
        <f>IF($B95="COGS",H95*H28/365,H95*(H28+H52)/365)</f>
        <v>45.963416181506851</v>
      </c>
      <c r="I90" s="26">
        <f>IF($B95="COGS",I95*I28/365,I95*(I28+I52)/365)</f>
        <v>49.198997998715747</v>
      </c>
      <c r="J90" s="26">
        <f>IF($B95="COGS",J95*J28/365,J95*(J28+J52)/365)</f>
        <v>51.751917545002144</v>
      </c>
      <c r="L90" s="160" t="s">
        <v>75</v>
      </c>
      <c r="M90" s="161"/>
      <c r="N90" s="161"/>
      <c r="O90" s="161"/>
      <c r="P90" s="162"/>
    </row>
    <row r="91" spans="1:16" x14ac:dyDescent="0.25">
      <c r="L91" s="160"/>
      <c r="M91" s="161"/>
      <c r="N91" s="161"/>
      <c r="O91" s="161"/>
      <c r="P91" s="162"/>
    </row>
    <row r="92" spans="1:16" x14ac:dyDescent="0.25">
      <c r="B92" s="1" t="s">
        <v>53</v>
      </c>
      <c r="L92" s="10" t="s">
        <v>76</v>
      </c>
      <c r="M92" s="37"/>
      <c r="N92" s="37"/>
      <c r="O92" s="37"/>
      <c r="P92" s="11"/>
    </row>
    <row r="93" spans="1:16" ht="15.75" thickBot="1" x14ac:dyDescent="0.3">
      <c r="A93" s="6" t="s">
        <v>69</v>
      </c>
      <c r="B93" t="s">
        <v>5</v>
      </c>
      <c r="D93" s="104">
        <f>IFERROR(D88/D12*365,"n/a")</f>
        <v>31.063829787234042</v>
      </c>
      <c r="E93" s="104">
        <f>IFERROR(E88/E12*365,"n/a")</f>
        <v>32.775510204081634</v>
      </c>
      <c r="F93" s="5">
        <v>30</v>
      </c>
      <c r="G93" s="5">
        <v>30</v>
      </c>
      <c r="H93" s="5">
        <v>30</v>
      </c>
      <c r="I93" s="5">
        <v>30</v>
      </c>
      <c r="J93" s="5">
        <v>30</v>
      </c>
      <c r="L93" s="12"/>
      <c r="M93" s="13"/>
      <c r="N93" s="13"/>
      <c r="O93" s="13"/>
      <c r="P93" s="14"/>
    </row>
    <row r="94" spans="1:16" x14ac:dyDescent="0.25">
      <c r="A94" s="6" t="s">
        <v>70</v>
      </c>
      <c r="B94" s="28" t="s">
        <v>71</v>
      </c>
      <c r="D94" s="104">
        <f>IFERROR(IF($B94="COGS",D89/D28*365,D89/D12*365),"n/a")</f>
        <v>80.821428571428569</v>
      </c>
      <c r="E94" s="104">
        <f>IFERROR(IF($B94="COGS",E89/E28*365,E89/E12*365),"n/a")</f>
        <v>81.38513513513513</v>
      </c>
      <c r="F94" s="5">
        <v>81</v>
      </c>
      <c r="G94" s="5">
        <v>81</v>
      </c>
      <c r="H94" s="5">
        <v>81</v>
      </c>
      <c r="I94" s="5">
        <v>81</v>
      </c>
      <c r="J94" s="5">
        <v>81</v>
      </c>
    </row>
    <row r="95" spans="1:16" x14ac:dyDescent="0.25">
      <c r="A95" s="6" t="s">
        <v>72</v>
      </c>
      <c r="B95" s="28" t="s">
        <v>73</v>
      </c>
      <c r="D95" s="104">
        <f t="shared" ref="D95:E95" si="39">IFERROR(IF($B95="COGS",D90/D28*365,D90/(D28+D52)*365),"n/a")</f>
        <v>76.84210526315789</v>
      </c>
      <c r="E95" s="104">
        <f t="shared" si="39"/>
        <v>69.349999999999994</v>
      </c>
      <c r="F95" s="5">
        <v>70</v>
      </c>
      <c r="G95" s="5">
        <v>70</v>
      </c>
      <c r="H95" s="5">
        <v>70</v>
      </c>
      <c r="I95" s="5">
        <v>70</v>
      </c>
      <c r="J95" s="5">
        <v>70</v>
      </c>
    </row>
    <row r="97" spans="1:16" x14ac:dyDescent="0.25">
      <c r="A97" s="20" t="s">
        <v>77</v>
      </c>
      <c r="B97" s="20"/>
      <c r="C97" s="20"/>
      <c r="D97" s="20"/>
      <c r="E97" s="20"/>
      <c r="F97" s="20"/>
      <c r="G97" s="20"/>
      <c r="H97" s="20"/>
      <c r="I97" s="20"/>
      <c r="J97" s="20"/>
    </row>
    <row r="98" spans="1:16" ht="15.75" thickBot="1" x14ac:dyDescent="0.3"/>
    <row r="99" spans="1:16" x14ac:dyDescent="0.25">
      <c r="A99" t="s">
        <v>78</v>
      </c>
      <c r="D99" s="5">
        <v>45</v>
      </c>
      <c r="E99" s="5">
        <v>47</v>
      </c>
      <c r="F99" s="5">
        <v>50</v>
      </c>
      <c r="G99" s="5">
        <v>50</v>
      </c>
      <c r="H99" s="5">
        <v>50</v>
      </c>
      <c r="I99" s="5">
        <v>50</v>
      </c>
      <c r="J99" s="5">
        <v>50</v>
      </c>
      <c r="L99" s="7" t="s">
        <v>51</v>
      </c>
      <c r="M99" s="8"/>
      <c r="N99" s="8"/>
      <c r="O99" s="8"/>
      <c r="P99" s="9"/>
    </row>
    <row r="100" spans="1:16" x14ac:dyDescent="0.25">
      <c r="A100" t="s">
        <v>79</v>
      </c>
      <c r="D100" s="5">
        <v>1</v>
      </c>
      <c r="E100" s="5">
        <v>1</v>
      </c>
      <c r="F100" s="26">
        <f>F101*E99</f>
        <v>0.94000000000000006</v>
      </c>
      <c r="G100" s="26">
        <f t="shared" ref="G100:J100" si="40">G101*F99</f>
        <v>1</v>
      </c>
      <c r="H100" s="26">
        <f t="shared" si="40"/>
        <v>1</v>
      </c>
      <c r="I100" s="26">
        <f t="shared" si="40"/>
        <v>1</v>
      </c>
      <c r="J100" s="26">
        <f t="shared" si="40"/>
        <v>1</v>
      </c>
      <c r="L100" s="160" t="s">
        <v>81</v>
      </c>
      <c r="M100" s="161"/>
      <c r="N100" s="161"/>
      <c r="O100" s="161"/>
      <c r="P100" s="162"/>
    </row>
    <row r="101" spans="1:16" x14ac:dyDescent="0.25">
      <c r="A101" s="6" t="s">
        <v>80</v>
      </c>
      <c r="D101" s="38"/>
      <c r="E101" s="38">
        <f>IFERROR(E100/D99,"")</f>
        <v>2.2222222222222223E-2</v>
      </c>
      <c r="F101" s="39">
        <v>0.02</v>
      </c>
      <c r="G101" s="39">
        <v>0.02</v>
      </c>
      <c r="H101" s="39">
        <v>0.02</v>
      </c>
      <c r="I101" s="39">
        <v>0.02</v>
      </c>
      <c r="J101" s="39">
        <v>0.02</v>
      </c>
      <c r="L101" s="160"/>
      <c r="M101" s="161"/>
      <c r="N101" s="161"/>
      <c r="O101" s="161"/>
      <c r="P101" s="162"/>
    </row>
    <row r="102" spans="1:16" x14ac:dyDescent="0.25">
      <c r="L102" s="160" t="s">
        <v>85</v>
      </c>
      <c r="M102" s="161"/>
      <c r="N102" s="161"/>
      <c r="O102" s="161"/>
      <c r="P102" s="162"/>
    </row>
    <row r="103" spans="1:16" ht="15.75" thickBot="1" x14ac:dyDescent="0.3">
      <c r="A103" t="s">
        <v>82</v>
      </c>
      <c r="D103" s="5">
        <v>10</v>
      </c>
      <c r="E103" s="5">
        <v>10</v>
      </c>
      <c r="F103" s="5">
        <v>10</v>
      </c>
      <c r="G103" s="5">
        <v>10</v>
      </c>
      <c r="H103" s="5">
        <v>10</v>
      </c>
      <c r="I103" s="5">
        <v>10</v>
      </c>
      <c r="J103" s="5">
        <v>10</v>
      </c>
      <c r="L103" s="163"/>
      <c r="M103" s="164"/>
      <c r="N103" s="164"/>
      <c r="O103" s="164"/>
      <c r="P103" s="165"/>
    </row>
    <row r="104" spans="1:16" x14ac:dyDescent="0.25">
      <c r="A104" t="s">
        <v>83</v>
      </c>
      <c r="D104" s="5">
        <v>120</v>
      </c>
      <c r="E104" s="5">
        <v>110</v>
      </c>
      <c r="F104" s="23">
        <f>F105-F103</f>
        <v>96.696095744688321</v>
      </c>
      <c r="G104" s="23">
        <f t="shared" ref="G104:J104" si="41">G105-G103</f>
        <v>80.13172922343054</v>
      </c>
      <c r="H104" s="23">
        <f t="shared" si="41"/>
        <v>63.312338469968708</v>
      </c>
      <c r="I104" s="23">
        <f t="shared" si="41"/>
        <v>45.88989358350382</v>
      </c>
      <c r="J104" s="23">
        <f t="shared" si="41"/>
        <v>29.007223568452027</v>
      </c>
    </row>
    <row r="105" spans="1:16" x14ac:dyDescent="0.25">
      <c r="A105" s="1" t="s">
        <v>84</v>
      </c>
      <c r="B105" s="1"/>
      <c r="D105" s="24">
        <f>D103+D104</f>
        <v>130</v>
      </c>
      <c r="E105" s="24">
        <f>E103+E104</f>
        <v>120</v>
      </c>
      <c r="F105" s="48">
        <f>'Financial Position'!F24</f>
        <v>106.69609574468832</v>
      </c>
      <c r="G105" s="48">
        <f>'Financial Position'!G24</f>
        <v>90.13172922343054</v>
      </c>
      <c r="H105" s="48">
        <f>'Financial Position'!H24</f>
        <v>73.312338469968708</v>
      </c>
      <c r="I105" s="48">
        <f>'Financial Position'!I24</f>
        <v>55.88989358350382</v>
      </c>
      <c r="J105" s="48">
        <f>'Financial Position'!J24</f>
        <v>39.007223568452027</v>
      </c>
    </row>
    <row r="107" spans="1:16" x14ac:dyDescent="0.25">
      <c r="A107" t="s">
        <v>86</v>
      </c>
      <c r="D107" s="5">
        <v>8</v>
      </c>
      <c r="E107" s="5">
        <v>9</v>
      </c>
      <c r="F107" s="26">
        <f>F108*E105</f>
        <v>7.1999999999999993</v>
      </c>
      <c r="G107" s="26">
        <f t="shared" ref="G107:J107" si="42">G108*F105</f>
        <v>6.401765744681299</v>
      </c>
      <c r="H107" s="26">
        <f t="shared" si="42"/>
        <v>5.4079037534058321</v>
      </c>
      <c r="I107" s="26">
        <f t="shared" si="42"/>
        <v>4.3987403081981222</v>
      </c>
      <c r="J107" s="26">
        <f t="shared" si="42"/>
        <v>3.353393615010229</v>
      </c>
    </row>
    <row r="108" spans="1:16" x14ac:dyDescent="0.25">
      <c r="A108" s="6" t="s">
        <v>80</v>
      </c>
      <c r="E108" s="38">
        <f>IFERROR(E107/D105,"")</f>
        <v>6.9230769230769235E-2</v>
      </c>
      <c r="F108" s="39">
        <v>0.06</v>
      </c>
      <c r="G108" s="39">
        <v>0.06</v>
      </c>
      <c r="H108" s="39">
        <v>0.06</v>
      </c>
      <c r="I108" s="39">
        <v>0.06</v>
      </c>
      <c r="J108" s="39">
        <v>0.06</v>
      </c>
    </row>
    <row r="110" spans="1:16" x14ac:dyDescent="0.25">
      <c r="A110" s="20" t="s">
        <v>103</v>
      </c>
      <c r="B110" s="20"/>
      <c r="C110" s="20"/>
      <c r="D110" s="20"/>
      <c r="E110" s="20"/>
      <c r="F110" s="20"/>
      <c r="G110" s="20"/>
      <c r="H110" s="20"/>
      <c r="I110" s="20"/>
      <c r="J110" s="20"/>
    </row>
    <row r="112" spans="1:16" x14ac:dyDescent="0.25">
      <c r="A112" t="s">
        <v>93</v>
      </c>
      <c r="D112" s="5">
        <v>7</v>
      </c>
      <c r="E112" s="5">
        <v>8</v>
      </c>
      <c r="F112" s="26">
        <f>F113*'Income Statement'!F44</f>
        <v>9.8753374999999917</v>
      </c>
      <c r="G112" s="26">
        <f>G113*'Income Statement'!G44</f>
        <v>14.948669489361555</v>
      </c>
      <c r="H112" s="26">
        <f>H113*'Income Statement'!H44</f>
        <v>20.510905405057962</v>
      </c>
      <c r="I112" s="26">
        <f>I113*'Income Statement'!I44</f>
        <v>25.344146106974417</v>
      </c>
      <c r="J112" s="26">
        <f>J113*'Income Statement'!J44</f>
        <v>28.115354043242515</v>
      </c>
    </row>
    <row r="113" spans="1:16" x14ac:dyDescent="0.25">
      <c r="A113" s="6" t="s">
        <v>115</v>
      </c>
      <c r="D113" s="38">
        <f>D112/'Income Statement'!D44</f>
        <v>0.26923076923076922</v>
      </c>
      <c r="E113" s="38">
        <f>E112/'Income Statement'!E44</f>
        <v>0.30769230769230771</v>
      </c>
      <c r="F113" s="39">
        <v>0.35</v>
      </c>
      <c r="G113" s="39">
        <v>0.35</v>
      </c>
      <c r="H113" s="39">
        <v>0.35</v>
      </c>
      <c r="I113" s="39">
        <v>0.35</v>
      </c>
      <c r="J113" s="39">
        <v>0.35</v>
      </c>
    </row>
    <row r="115" spans="1:16" x14ac:dyDescent="0.25">
      <c r="A115" s="20" t="s">
        <v>122</v>
      </c>
      <c r="B115" s="20"/>
      <c r="C115" s="20"/>
      <c r="D115" s="20"/>
      <c r="E115" s="20"/>
      <c r="F115" s="20"/>
      <c r="G115" s="20"/>
      <c r="H115" s="20"/>
      <c r="I115" s="20"/>
      <c r="J115" s="20"/>
    </row>
    <row r="117" spans="1:16" x14ac:dyDescent="0.25">
      <c r="A117" t="s">
        <v>120</v>
      </c>
      <c r="D117" s="5">
        <v>15</v>
      </c>
      <c r="E117" s="5">
        <v>12</v>
      </c>
      <c r="F117" s="26">
        <f>F118*'Income Statement'!F46</f>
        <v>14.671929999999993</v>
      </c>
      <c r="G117" s="26">
        <f>G118*'Income Statement'!G46</f>
        <v>22.209451812765742</v>
      </c>
      <c r="H117" s="26">
        <f>H118*'Income Statement'!H46</f>
        <v>30.473345173228978</v>
      </c>
      <c r="I117" s="26">
        <f>I118*'Income Statement'!I46</f>
        <v>37.654159930361992</v>
      </c>
      <c r="J117" s="26">
        <f>J118*'Income Statement'!J46</f>
        <v>41.771383149960315</v>
      </c>
    </row>
    <row r="118" spans="1:16" x14ac:dyDescent="0.25">
      <c r="A118" s="6" t="s">
        <v>121</v>
      </c>
      <c r="D118" s="38">
        <f>D117/'Income Statement'!D46</f>
        <v>0.78947368421052633</v>
      </c>
      <c r="E118" s="38">
        <f>E117/'Income Statement'!E46</f>
        <v>0.66666666666666663</v>
      </c>
      <c r="F118" s="39">
        <v>0.8</v>
      </c>
      <c r="G118" s="39">
        <v>0.8</v>
      </c>
      <c r="H118" s="39">
        <v>0.8</v>
      </c>
      <c r="I118" s="39">
        <v>0.8</v>
      </c>
      <c r="J118" s="39">
        <v>0.8</v>
      </c>
    </row>
    <row r="119" spans="1:16" x14ac:dyDescent="0.25">
      <c r="A119" s="6"/>
      <c r="D119" s="38"/>
      <c r="E119" s="38"/>
      <c r="F119" s="38"/>
      <c r="G119" s="38"/>
      <c r="H119" s="38"/>
      <c r="I119" s="38"/>
      <c r="J119" s="38"/>
      <c r="K119" s="38"/>
    </row>
    <row r="120" spans="1:16" x14ac:dyDescent="0.25">
      <c r="A120" s="2" t="s">
        <v>123</v>
      </c>
      <c r="D120" s="5">
        <v>0</v>
      </c>
      <c r="E120" s="5">
        <v>12</v>
      </c>
      <c r="F120" s="5">
        <v>0</v>
      </c>
      <c r="G120" s="5">
        <v>0</v>
      </c>
      <c r="H120" s="5">
        <v>0</v>
      </c>
      <c r="I120" s="5">
        <v>0</v>
      </c>
      <c r="J120" s="5">
        <v>0</v>
      </c>
    </row>
    <row r="122" spans="1:16" x14ac:dyDescent="0.25">
      <c r="A122" s="20" t="s">
        <v>105</v>
      </c>
      <c r="B122" s="20"/>
      <c r="C122" s="20"/>
      <c r="D122" s="20"/>
      <c r="E122" s="20"/>
      <c r="F122" s="20"/>
      <c r="G122" s="20"/>
      <c r="H122" s="20"/>
      <c r="I122" s="20"/>
      <c r="J122" s="20"/>
    </row>
    <row r="123" spans="1:16" ht="15.75" thickBot="1" x14ac:dyDescent="0.3"/>
    <row r="124" spans="1:16" x14ac:dyDescent="0.25">
      <c r="A124" t="s">
        <v>95</v>
      </c>
      <c r="D124" s="5">
        <v>5</v>
      </c>
      <c r="E124" s="5">
        <v>6</v>
      </c>
      <c r="F124" s="5">
        <f t="shared" ref="F124:J125" si="43">E124*F$12/E$12</f>
        <v>6.777551020408163</v>
      </c>
      <c r="G124" s="5">
        <f t="shared" si="43"/>
        <v>7.3989795918367349</v>
      </c>
      <c r="H124" s="5">
        <f t="shared" si="43"/>
        <v>7.8346530612244907</v>
      </c>
      <c r="I124" s="5">
        <f t="shared" si="43"/>
        <v>8.5457295918367358</v>
      </c>
      <c r="J124" s="5">
        <f t="shared" si="43"/>
        <v>9.0267993367346939</v>
      </c>
      <c r="L124" s="7" t="s">
        <v>51</v>
      </c>
      <c r="M124" s="8"/>
      <c r="N124" s="8"/>
      <c r="O124" s="8"/>
      <c r="P124" s="9"/>
    </row>
    <row r="125" spans="1:16" ht="15" customHeight="1" x14ac:dyDescent="0.25">
      <c r="A125" t="s">
        <v>99</v>
      </c>
      <c r="D125" s="5">
        <v>2</v>
      </c>
      <c r="E125" s="5">
        <v>2</v>
      </c>
      <c r="F125" s="5">
        <f t="shared" si="43"/>
        <v>2.259183673469388</v>
      </c>
      <c r="G125" s="5">
        <f t="shared" si="43"/>
        <v>2.4663265306122453</v>
      </c>
      <c r="H125" s="5">
        <f t="shared" si="43"/>
        <v>2.611551020408164</v>
      </c>
      <c r="I125" s="5">
        <f t="shared" si="43"/>
        <v>2.8485765306122457</v>
      </c>
      <c r="J125" s="5">
        <f t="shared" si="43"/>
        <v>3.0089331122448986</v>
      </c>
      <c r="L125" s="160" t="s">
        <v>112</v>
      </c>
      <c r="M125" s="161"/>
      <c r="N125" s="161"/>
      <c r="O125" s="161"/>
      <c r="P125" s="162"/>
    </row>
    <row r="126" spans="1:16" x14ac:dyDescent="0.25">
      <c r="A126" t="s">
        <v>106</v>
      </c>
      <c r="D126" s="5">
        <v>3</v>
      </c>
      <c r="E126" s="5">
        <v>4</v>
      </c>
      <c r="F126" s="5">
        <f>E126*F112/E112</f>
        <v>4.9376687499999958</v>
      </c>
      <c r="G126" s="5">
        <f t="shared" ref="G126:J126" si="44">F126*G112/F112</f>
        <v>7.4743347446807773</v>
      </c>
      <c r="H126" s="5">
        <f t="shared" si="44"/>
        <v>10.255452702528981</v>
      </c>
      <c r="I126" s="5">
        <f t="shared" si="44"/>
        <v>12.672073053487209</v>
      </c>
      <c r="J126" s="5">
        <f t="shared" si="44"/>
        <v>14.057677021621258</v>
      </c>
      <c r="L126" s="160"/>
      <c r="M126" s="161"/>
      <c r="N126" s="161"/>
      <c r="O126" s="161"/>
      <c r="P126" s="162"/>
    </row>
    <row r="127" spans="1:16" x14ac:dyDescent="0.25">
      <c r="A127" t="s">
        <v>107</v>
      </c>
      <c r="D127" s="5">
        <v>4</v>
      </c>
      <c r="E127" s="5">
        <v>5</v>
      </c>
      <c r="F127" s="5">
        <f t="shared" ref="F127:J131" si="45">E127*F$12/E$12</f>
        <v>5.6479591836734695</v>
      </c>
      <c r="G127" s="5">
        <f t="shared" si="45"/>
        <v>6.1658163265306127</v>
      </c>
      <c r="H127" s="5">
        <f t="shared" si="45"/>
        <v>6.5288775510204093</v>
      </c>
      <c r="I127" s="5">
        <f t="shared" si="45"/>
        <v>7.121441326530614</v>
      </c>
      <c r="J127" s="5">
        <f t="shared" si="45"/>
        <v>7.5223327806122464</v>
      </c>
      <c r="L127" s="160"/>
      <c r="M127" s="161"/>
      <c r="N127" s="161"/>
      <c r="O127" s="161"/>
      <c r="P127" s="162"/>
    </row>
    <row r="128" spans="1:16" x14ac:dyDescent="0.25">
      <c r="A128" t="s">
        <v>108</v>
      </c>
      <c r="D128" s="5">
        <v>1</v>
      </c>
      <c r="E128" s="5">
        <v>2</v>
      </c>
      <c r="F128" s="5">
        <f t="shared" si="45"/>
        <v>2.259183673469388</v>
      </c>
      <c r="G128" s="5">
        <f t="shared" si="45"/>
        <v>2.4663265306122453</v>
      </c>
      <c r="H128" s="5">
        <f t="shared" si="45"/>
        <v>2.611551020408164</v>
      </c>
      <c r="I128" s="5">
        <f t="shared" si="45"/>
        <v>2.8485765306122457</v>
      </c>
      <c r="J128" s="5">
        <f t="shared" si="45"/>
        <v>3.0089331122448986</v>
      </c>
      <c r="L128" s="160"/>
      <c r="M128" s="161"/>
      <c r="N128" s="161"/>
      <c r="O128" s="161"/>
      <c r="P128" s="162"/>
    </row>
    <row r="129" spans="1:16" x14ac:dyDescent="0.25">
      <c r="A129" t="s">
        <v>109</v>
      </c>
      <c r="D129" s="5">
        <v>5</v>
      </c>
      <c r="E129" s="5">
        <v>6</v>
      </c>
      <c r="F129" s="5">
        <f t="shared" si="45"/>
        <v>6.777551020408163</v>
      </c>
      <c r="G129" s="5">
        <f t="shared" si="45"/>
        <v>7.3989795918367349</v>
      </c>
      <c r="H129" s="5">
        <f t="shared" si="45"/>
        <v>7.8346530612244907</v>
      </c>
      <c r="I129" s="5">
        <f t="shared" si="45"/>
        <v>8.5457295918367358</v>
      </c>
      <c r="J129" s="5">
        <f t="shared" si="45"/>
        <v>9.0267993367346939</v>
      </c>
      <c r="L129" s="160" t="s">
        <v>113</v>
      </c>
      <c r="M129" s="161"/>
      <c r="N129" s="161"/>
      <c r="O129" s="161"/>
      <c r="P129" s="162"/>
    </row>
    <row r="130" spans="1:16" ht="15.75" thickBot="1" x14ac:dyDescent="0.3">
      <c r="A130" t="s">
        <v>110</v>
      </c>
      <c r="D130" s="5">
        <v>10</v>
      </c>
      <c r="E130" s="5">
        <v>10</v>
      </c>
      <c r="F130" s="5">
        <f t="shared" si="45"/>
        <v>11.295918367346939</v>
      </c>
      <c r="G130" s="5">
        <f t="shared" si="45"/>
        <v>12.331632653061225</v>
      </c>
      <c r="H130" s="5">
        <f t="shared" si="45"/>
        <v>13.057755102040819</v>
      </c>
      <c r="I130" s="5">
        <f t="shared" si="45"/>
        <v>14.242882653061228</v>
      </c>
      <c r="J130" s="5">
        <f t="shared" si="45"/>
        <v>15.044665561224493</v>
      </c>
      <c r="L130" s="163"/>
      <c r="M130" s="164"/>
      <c r="N130" s="164"/>
      <c r="O130" s="164"/>
      <c r="P130" s="165"/>
    </row>
    <row r="131" spans="1:16" x14ac:dyDescent="0.25">
      <c r="A131" t="s">
        <v>111</v>
      </c>
      <c r="D131" s="5">
        <v>1</v>
      </c>
      <c r="E131" s="5">
        <v>2</v>
      </c>
      <c r="F131" s="5">
        <f t="shared" si="45"/>
        <v>2.259183673469388</v>
      </c>
      <c r="G131" s="5">
        <f t="shared" si="45"/>
        <v>2.4663265306122453</v>
      </c>
      <c r="H131" s="5">
        <f t="shared" si="45"/>
        <v>2.611551020408164</v>
      </c>
      <c r="I131" s="5">
        <f t="shared" si="45"/>
        <v>2.8485765306122457</v>
      </c>
      <c r="J131" s="5">
        <f t="shared" si="45"/>
        <v>3.0089331122448986</v>
      </c>
    </row>
    <row r="133" spans="1:16" x14ac:dyDescent="0.25">
      <c r="A133" s="20" t="s">
        <v>135</v>
      </c>
      <c r="B133" s="20"/>
      <c r="C133" s="20"/>
      <c r="D133" s="20"/>
      <c r="E133" s="20"/>
      <c r="F133" s="20"/>
      <c r="G133" s="20"/>
      <c r="H133" s="20"/>
      <c r="I133" s="20"/>
      <c r="J133" s="20"/>
    </row>
    <row r="135" spans="1:16" x14ac:dyDescent="0.25">
      <c r="D135" s="74" t="s">
        <v>136</v>
      </c>
      <c r="E135" s="74" t="s">
        <v>137</v>
      </c>
    </row>
    <row r="136" spans="1:16" x14ac:dyDescent="0.25">
      <c r="A136" t="s">
        <v>138</v>
      </c>
      <c r="D136" s="75">
        <v>2.1499999999999998E-2</v>
      </c>
      <c r="E136" s="75">
        <v>2.1499999999999998E-2</v>
      </c>
      <c r="F136" t="s">
        <v>152</v>
      </c>
      <c r="L136" s="77" t="s">
        <v>149</v>
      </c>
    </row>
    <row r="137" spans="1:16" x14ac:dyDescent="0.25">
      <c r="A137" t="s">
        <v>139</v>
      </c>
      <c r="D137" s="75">
        <v>7.0000000000000007E-2</v>
      </c>
      <c r="E137" s="75">
        <v>7.0000000000000007E-2</v>
      </c>
      <c r="F137" t="s">
        <v>150</v>
      </c>
      <c r="L137" s="77" t="s">
        <v>151</v>
      </c>
    </row>
    <row r="138" spans="1:16" x14ac:dyDescent="0.25">
      <c r="A138" t="s">
        <v>140</v>
      </c>
      <c r="D138" s="78">
        <v>0.8</v>
      </c>
      <c r="E138" s="78">
        <v>1</v>
      </c>
    </row>
    <row r="139" spans="1:16" x14ac:dyDescent="0.25">
      <c r="A139" t="s">
        <v>141</v>
      </c>
      <c r="D139" s="75">
        <v>0.01</v>
      </c>
      <c r="E139" s="75">
        <v>0.02</v>
      </c>
    </row>
    <row r="140" spans="1:16" x14ac:dyDescent="0.25">
      <c r="A140" t="s">
        <v>142</v>
      </c>
      <c r="D140" s="75">
        <v>0.02</v>
      </c>
      <c r="E140" s="75">
        <v>0.03</v>
      </c>
    </row>
    <row r="141" spans="1:16" x14ac:dyDescent="0.25">
      <c r="A141" s="1" t="s">
        <v>143</v>
      </c>
      <c r="D141" s="76">
        <f>D136+(D137*D138)+D139+D140</f>
        <v>0.10750000000000001</v>
      </c>
      <c r="E141" s="76">
        <f>E136+(E137*E138)+E139+E140</f>
        <v>0.14150000000000001</v>
      </c>
    </row>
    <row r="143" spans="1:16" x14ac:dyDescent="0.25">
      <c r="A143" t="s">
        <v>144</v>
      </c>
      <c r="D143" s="75">
        <v>0.02</v>
      </c>
      <c r="E143" s="75">
        <v>2.5000000000000001E-2</v>
      </c>
      <c r="F143" t="s">
        <v>156</v>
      </c>
      <c r="L143" s="77" t="s">
        <v>149</v>
      </c>
    </row>
    <row r="144" spans="1:16" x14ac:dyDescent="0.25">
      <c r="A144" s="1" t="s">
        <v>145</v>
      </c>
      <c r="B144" s="1"/>
      <c r="C144" s="1"/>
      <c r="D144" s="79">
        <f>D143+D136</f>
        <v>4.1499999999999995E-2</v>
      </c>
      <c r="E144" s="79">
        <f>E143+E136</f>
        <v>4.65E-2</v>
      </c>
    </row>
    <row r="145" spans="1:16" x14ac:dyDescent="0.25">
      <c r="A145" s="1"/>
      <c r="B145" s="1"/>
      <c r="C145" s="1"/>
      <c r="D145" s="79"/>
      <c r="E145" s="79"/>
    </row>
    <row r="146" spans="1:16" x14ac:dyDescent="0.25">
      <c r="A146" t="s">
        <v>146</v>
      </c>
      <c r="D146" s="75">
        <v>0.2</v>
      </c>
      <c r="E146" s="75">
        <v>0.3</v>
      </c>
      <c r="F146" t="s">
        <v>155</v>
      </c>
    </row>
    <row r="147" spans="1:16" x14ac:dyDescent="0.25">
      <c r="A147" t="s">
        <v>147</v>
      </c>
      <c r="D147" s="75">
        <v>0.3</v>
      </c>
      <c r="E147" s="75">
        <v>0.3</v>
      </c>
      <c r="F147" t="s">
        <v>154</v>
      </c>
    </row>
    <row r="148" spans="1:16" ht="15.75" thickBot="1" x14ac:dyDescent="0.3">
      <c r="A148" s="1" t="s">
        <v>153</v>
      </c>
      <c r="D148" s="76">
        <f>D141*(1-D146)+D144*D146*(1-D147)</f>
        <v>9.1810000000000017E-2</v>
      </c>
      <c r="E148" s="76">
        <f>E141*(1-E146)+E144*E146*(1-E147)</f>
        <v>0.108815</v>
      </c>
    </row>
    <row r="149" spans="1:16" x14ac:dyDescent="0.25">
      <c r="L149" s="7" t="s">
        <v>51</v>
      </c>
      <c r="M149" s="8"/>
      <c r="N149" s="8"/>
      <c r="O149" s="8"/>
      <c r="P149" s="9"/>
    </row>
    <row r="150" spans="1:16" ht="15.75" thickBot="1" x14ac:dyDescent="0.3">
      <c r="A150" s="1" t="s">
        <v>148</v>
      </c>
      <c r="D150" s="105">
        <v>0.09</v>
      </c>
      <c r="E150" s="105">
        <v>0.11</v>
      </c>
      <c r="L150" s="12" t="s">
        <v>193</v>
      </c>
      <c r="M150" s="13"/>
      <c r="N150" s="13"/>
      <c r="O150" s="13"/>
      <c r="P150" s="14"/>
    </row>
    <row r="152" spans="1:16" x14ac:dyDescent="0.25">
      <c r="A152" s="20" t="s">
        <v>166</v>
      </c>
      <c r="B152" s="20"/>
      <c r="C152" s="20"/>
      <c r="D152" s="20"/>
      <c r="E152" s="20"/>
      <c r="F152" s="20"/>
      <c r="G152" s="20"/>
      <c r="H152" s="20"/>
      <c r="I152" s="20"/>
      <c r="J152" s="20"/>
    </row>
    <row r="154" spans="1:16" x14ac:dyDescent="0.25">
      <c r="A154" t="s">
        <v>163</v>
      </c>
      <c r="B154" s="85" t="s">
        <v>199</v>
      </c>
    </row>
    <row r="155" spans="1:16" x14ac:dyDescent="0.25">
      <c r="A155" t="s">
        <v>167</v>
      </c>
      <c r="B155" s="75">
        <v>2.5000000000000001E-2</v>
      </c>
    </row>
    <row r="157" spans="1:16" x14ac:dyDescent="0.25">
      <c r="A157" s="20" t="s">
        <v>77</v>
      </c>
      <c r="B157" s="20"/>
      <c r="C157" s="20"/>
      <c r="D157" s="20"/>
      <c r="E157" s="20"/>
      <c r="F157" s="20"/>
      <c r="G157" s="20"/>
      <c r="H157" s="20"/>
      <c r="I157" s="20"/>
      <c r="J157" s="20"/>
    </row>
    <row r="159" spans="1:16" x14ac:dyDescent="0.25">
      <c r="D159" s="74" t="s">
        <v>136</v>
      </c>
      <c r="E159" s="74" t="s">
        <v>137</v>
      </c>
    </row>
    <row r="160" spans="1:16" ht="15.75" thickBot="1" x14ac:dyDescent="0.3">
      <c r="A160" t="s">
        <v>78</v>
      </c>
      <c r="D160" s="26">
        <f>E99</f>
        <v>47</v>
      </c>
      <c r="E160" s="26">
        <f>D160</f>
        <v>47</v>
      </c>
    </row>
    <row r="161" spans="1:16" x14ac:dyDescent="0.25">
      <c r="A161" t="s">
        <v>180</v>
      </c>
      <c r="D161" s="50">
        <f>-E105</f>
        <v>-120</v>
      </c>
      <c r="E161" s="50">
        <f>D161</f>
        <v>-120</v>
      </c>
      <c r="L161" s="7" t="s">
        <v>51</v>
      </c>
      <c r="M161" s="8"/>
      <c r="N161" s="8"/>
      <c r="O161" s="8"/>
      <c r="P161" s="9"/>
    </row>
    <row r="162" spans="1:16" ht="15.75" thickBot="1" x14ac:dyDescent="0.3">
      <c r="A162" t="s">
        <v>181</v>
      </c>
      <c r="D162" s="93">
        <v>0</v>
      </c>
      <c r="E162" s="93">
        <v>10</v>
      </c>
      <c r="L162" s="12" t="s">
        <v>194</v>
      </c>
      <c r="M162" s="13"/>
      <c r="N162" s="13"/>
      <c r="O162" s="13"/>
      <c r="P162" s="14"/>
    </row>
    <row r="163" spans="1:16" x14ac:dyDescent="0.25">
      <c r="A163" s="1" t="s">
        <v>187</v>
      </c>
      <c r="B163" s="1"/>
      <c r="C163" s="1"/>
      <c r="D163" s="94">
        <f>SUM(D160:D162)</f>
        <v>-73</v>
      </c>
      <c r="E163" s="94">
        <f>SUM(E160:E162)</f>
        <v>-63</v>
      </c>
    </row>
    <row r="165" spans="1:16" x14ac:dyDescent="0.25">
      <c r="A165" s="20" t="s">
        <v>178</v>
      </c>
      <c r="B165" s="20"/>
      <c r="C165" s="20"/>
      <c r="D165" s="20"/>
      <c r="E165" s="20"/>
      <c r="F165" s="20"/>
      <c r="G165" s="20"/>
      <c r="H165" s="20"/>
      <c r="I165" s="20"/>
      <c r="J165" s="20"/>
    </row>
    <row r="166" spans="1:16" ht="15.75" thickBot="1" x14ac:dyDescent="0.3"/>
    <row r="167" spans="1:16" x14ac:dyDescent="0.25">
      <c r="D167" s="74" t="s">
        <v>136</v>
      </c>
      <c r="E167" s="74" t="s">
        <v>137</v>
      </c>
      <c r="L167" s="7" t="s">
        <v>51</v>
      </c>
      <c r="M167" s="8"/>
      <c r="N167" s="8"/>
      <c r="O167" s="8"/>
      <c r="P167" s="9"/>
    </row>
    <row r="168" spans="1:16" ht="15.75" thickBot="1" x14ac:dyDescent="0.3">
      <c r="A168" s="22" t="s">
        <v>182</v>
      </c>
      <c r="D168" s="93">
        <v>1</v>
      </c>
      <c r="E168" s="93">
        <v>6</v>
      </c>
      <c r="L168" s="12" t="s">
        <v>197</v>
      </c>
      <c r="M168" s="13"/>
      <c r="N168" s="13"/>
      <c r="O168" s="13"/>
      <c r="P168" s="14"/>
    </row>
    <row r="169" spans="1:16" x14ac:dyDescent="0.25">
      <c r="A169" s="22" t="s">
        <v>183</v>
      </c>
      <c r="D169" s="93">
        <v>2</v>
      </c>
      <c r="E169" s="93">
        <v>7</v>
      </c>
    </row>
    <row r="170" spans="1:16" x14ac:dyDescent="0.25">
      <c r="A170" s="22" t="s">
        <v>184</v>
      </c>
      <c r="D170" s="93">
        <v>3</v>
      </c>
      <c r="E170" s="93">
        <v>8</v>
      </c>
    </row>
    <row r="171" spans="1:16" x14ac:dyDescent="0.25">
      <c r="A171" s="22" t="s">
        <v>185</v>
      </c>
      <c r="D171" s="93">
        <v>4</v>
      </c>
      <c r="E171" s="93">
        <v>9</v>
      </c>
    </row>
    <row r="172" spans="1:16" x14ac:dyDescent="0.25">
      <c r="A172" s="22" t="s">
        <v>186</v>
      </c>
      <c r="D172" s="93">
        <v>5</v>
      </c>
      <c r="E172" s="93">
        <v>10</v>
      </c>
    </row>
    <row r="173" spans="1:16" x14ac:dyDescent="0.25">
      <c r="A173" s="1" t="s">
        <v>187</v>
      </c>
      <c r="B173" s="1"/>
      <c r="C173" s="1"/>
      <c r="D173" s="94">
        <f>SUM(D168:D172)</f>
        <v>15</v>
      </c>
      <c r="E173" s="94">
        <f>SUM(E168:E172)</f>
        <v>40</v>
      </c>
    </row>
  </sheetData>
  <mergeCells count="5">
    <mergeCell ref="L129:P130"/>
    <mergeCell ref="L90:P91"/>
    <mergeCell ref="L100:P101"/>
    <mergeCell ref="L102:P103"/>
    <mergeCell ref="L125:P128"/>
  </mergeCells>
  <phoneticPr fontId="16" type="noConversion"/>
  <dataValidations count="4">
    <dataValidation type="list" allowBlank="1" showInputMessage="1" showErrorMessage="1" sqref="B42:B51" xr:uid="{2366A8F5-D8E6-4374-85F2-704C9BE0A0BE}">
      <formula1>"% of sales,% growth"</formula1>
    </dataValidation>
    <dataValidation type="list" allowBlank="1" showInputMessage="1" showErrorMessage="1" sqref="B94" xr:uid="{AFDD1795-F8FD-4619-A316-280A90350EB9}">
      <formula1>"COGS,Revenue"</formula1>
    </dataValidation>
    <dataValidation type="list" allowBlank="1" showInputMessage="1" showErrorMessage="1" sqref="B95" xr:uid="{AA5F212F-5057-437F-88FF-3531E42AD41F}">
      <formula1>"COGS,COGS + Opex"</formula1>
    </dataValidation>
    <dataValidation type="list" allowBlank="1" showInputMessage="1" showErrorMessage="1" sqref="B154" xr:uid="{84731BC7-34A6-4567-830A-0AB9D3839A65}">
      <formula1>"Mid-period,End of period"</formula1>
    </dataValidation>
  </dataValidations>
  <hyperlinks>
    <hyperlink ref="AB136" r:id="rId1" display="www.rba.gov.au/statistics/tables/" xr:uid="{C34DFFCA-F6E2-47B4-890A-5D85FA48E11E}"/>
    <hyperlink ref="AB137" r:id="rId2" display="www.leadenhall.com.au/downloads/" xr:uid="{7B879991-0C13-4A6A-9F0F-50252A6A0B37}"/>
    <hyperlink ref="AB143" r:id="rId3" display="www.rba.gov.au/statistics/tables/" xr:uid="{231E414C-5760-4985-86E3-3D22EF436796}"/>
  </hyperlinks>
  <pageMargins left="0.7" right="0.7" top="0.75" bottom="0.75" header="0.3" footer="0.3"/>
  <pageSetup scale="57" fitToHeight="0" orientation="portrait" r:id="rId4"/>
  <ignoredErrors>
    <ignoredError sqref="F126:J12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14D0-E3DD-4A47-9231-10378B3279E5}">
  <sheetPr>
    <tabColor rgb="FF8B634B"/>
  </sheetPr>
  <dimension ref="A1:J47"/>
  <sheetViews>
    <sheetView showGridLines="0" workbookViewId="0">
      <selection activeCell="A6" sqref="A6"/>
    </sheetView>
  </sheetViews>
  <sheetFormatPr defaultColWidth="0" defaultRowHeight="15" zeroHeight="1" x14ac:dyDescent="0.25"/>
  <cols>
    <col min="1" max="1" width="9.140625" customWidth="1"/>
    <col min="2" max="2" width="16.28515625" bestFit="1" customWidth="1"/>
    <col min="3" max="9" width="9.140625" customWidth="1"/>
    <col min="10" max="10" width="10.5703125" customWidth="1"/>
    <col min="11" max="16384" width="9.140625" hidden="1"/>
  </cols>
  <sheetData>
    <row r="1" spans="2:2" x14ac:dyDescent="0.25"/>
    <row r="2" spans="2:2" x14ac:dyDescent="0.25"/>
    <row r="3" spans="2:2" x14ac:dyDescent="0.25"/>
    <row r="4" spans="2:2" x14ac:dyDescent="0.25"/>
    <row r="5" spans="2:2" x14ac:dyDescent="0.25"/>
    <row r="6" spans="2:2" x14ac:dyDescent="0.25"/>
    <row r="7" spans="2:2" x14ac:dyDescent="0.25"/>
    <row r="8" spans="2:2" x14ac:dyDescent="0.25"/>
    <row r="9" spans="2:2" x14ac:dyDescent="0.25"/>
    <row r="10" spans="2:2" x14ac:dyDescent="0.25">
      <c r="B10" t="str">
        <f>Scope&amp;Subject</f>
        <v>Limited Scope Impairment Analysis of Subject Pty Limited</v>
      </c>
    </row>
    <row r="11" spans="2:2" ht="26.25" x14ac:dyDescent="0.4">
      <c r="B11" s="102" t="str">
        <f>Subject</f>
        <v>Subject Pty Limited</v>
      </c>
    </row>
    <row r="12" spans="2:2" x14ac:dyDescent="0.25"/>
    <row r="13" spans="2:2" x14ac:dyDescent="0.25">
      <c r="B13" t="s">
        <v>188</v>
      </c>
    </row>
    <row r="14" spans="2:2" ht="18.75" x14ac:dyDescent="0.3">
      <c r="B14" s="103">
        <f>Last_YE</f>
        <v>44012</v>
      </c>
    </row>
    <row r="15" spans="2:2" x14ac:dyDescent="0.25"/>
    <row r="16" spans="2: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2" x14ac:dyDescent="0.25"/>
    <row r="34" spans="2:2" x14ac:dyDescent="0.25"/>
    <row r="35" spans="2:2" x14ac:dyDescent="0.25"/>
    <row r="36" spans="2:2" x14ac:dyDescent="0.25"/>
    <row r="37" spans="2:2" x14ac:dyDescent="0.25"/>
    <row r="38" spans="2:2" x14ac:dyDescent="0.25"/>
    <row r="39" spans="2:2" x14ac:dyDescent="0.25"/>
    <row r="40" spans="2:2" x14ac:dyDescent="0.25"/>
    <row r="41" spans="2:2" x14ac:dyDescent="0.25"/>
    <row r="42" spans="2:2" x14ac:dyDescent="0.25"/>
    <row r="43" spans="2:2" x14ac:dyDescent="0.25"/>
    <row r="44" spans="2:2" x14ac:dyDescent="0.25">
      <c r="B44" t="s">
        <v>189</v>
      </c>
    </row>
    <row r="45" spans="2:2" ht="21" x14ac:dyDescent="0.35">
      <c r="B45" s="101" t="str">
        <f>Background!B8</f>
        <v>Preparer Partners</v>
      </c>
    </row>
    <row r="46" spans="2:2" hidden="1" x14ac:dyDescent="0.25"/>
    <row r="47" spans="2:2" hidden="1" x14ac:dyDescent="0.25"/>
  </sheetData>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1ED1-C0B3-4AB2-AAA7-5B9FE3C4C6EC}">
  <sheetPr>
    <tabColor rgb="FF8B634B"/>
  </sheetPr>
  <dimension ref="A1:Q49"/>
  <sheetViews>
    <sheetView showGridLines="0" workbookViewId="0">
      <selection activeCell="A6" sqref="A6"/>
    </sheetView>
  </sheetViews>
  <sheetFormatPr defaultColWidth="0" defaultRowHeight="0" customHeight="1" zeroHeight="1" x14ac:dyDescent="0.25"/>
  <cols>
    <col min="1" max="1" width="4.28515625" customWidth="1"/>
    <col min="2" max="2" width="45.28515625" customWidth="1"/>
    <col min="3" max="3" width="8.140625" customWidth="1"/>
    <col min="4" max="17" width="0" hidden="1" customWidth="1"/>
    <col min="18" max="16384" width="9.140625" hidden="1"/>
  </cols>
  <sheetData>
    <row r="1" spans="1:3" ht="15" x14ac:dyDescent="0.25">
      <c r="A1" s="17" t="str">
        <f>Scope&amp;Subject</f>
        <v>Limited Scope Impairment Analysis of Subject Pty Limited</v>
      </c>
    </row>
    <row r="2" spans="1:3" ht="21" x14ac:dyDescent="0.35">
      <c r="A2" s="4" t="str">
        <f ca="1">MID(CELL("Filename",A1),FIND("]",CELL("Filename",A1))+1,255)</f>
        <v>Contents</v>
      </c>
    </row>
    <row r="3" spans="1:3" ht="15" x14ac:dyDescent="0.25"/>
    <row r="4" spans="1:3" s="97" customFormat="1" ht="15" x14ac:dyDescent="0.25">
      <c r="A4" s="98">
        <f>A3+1</f>
        <v>1</v>
      </c>
      <c r="B4" s="99" t="str">
        <f ca="1">'Income Statement'!A2</f>
        <v>Income Statement</v>
      </c>
      <c r="C4" s="96"/>
    </row>
    <row r="5" spans="1:3" s="97" customFormat="1" ht="15" x14ac:dyDescent="0.25">
      <c r="A5" s="98">
        <f t="shared" ref="A5:A10" si="0">A4+1</f>
        <v>2</v>
      </c>
      <c r="B5" s="100" t="str">
        <f ca="1">'Financial Position'!A2</f>
        <v>Financial Position</v>
      </c>
    </row>
    <row r="6" spans="1:3" s="97" customFormat="1" ht="15" x14ac:dyDescent="0.25">
      <c r="A6" s="98">
        <f t="shared" si="0"/>
        <v>3</v>
      </c>
      <c r="B6" s="100" t="str">
        <f ca="1">Cashflow!A2</f>
        <v>Cashflow</v>
      </c>
      <c r="C6" s="95"/>
    </row>
    <row r="7" spans="1:3" s="97" customFormat="1" ht="15" x14ac:dyDescent="0.25">
      <c r="A7" s="98">
        <f t="shared" si="0"/>
        <v>4</v>
      </c>
      <c r="B7" s="100" t="str">
        <f ca="1">'Discount Rate'!A2</f>
        <v>Discount Rate</v>
      </c>
      <c r="C7" s="95"/>
    </row>
    <row r="8" spans="1:3" s="97" customFormat="1" ht="15" x14ac:dyDescent="0.25">
      <c r="A8" s="98">
        <f t="shared" si="0"/>
        <v>5</v>
      </c>
      <c r="B8" s="100" t="str">
        <f ca="1">'Fair Value'!A2</f>
        <v>Fair Value</v>
      </c>
      <c r="C8" s="95"/>
    </row>
    <row r="9" spans="1:3" s="97" customFormat="1" ht="15" x14ac:dyDescent="0.25">
      <c r="A9" s="98">
        <f t="shared" si="0"/>
        <v>6</v>
      </c>
      <c r="B9" s="100" t="str">
        <f ca="1">'Value in Use'!A2</f>
        <v>Value in Use</v>
      </c>
      <c r="C9" s="95"/>
    </row>
    <row r="10" spans="1:3" s="97" customFormat="1" ht="15" x14ac:dyDescent="0.25">
      <c r="A10" s="98">
        <f t="shared" si="0"/>
        <v>7</v>
      </c>
      <c r="B10" s="100" t="str">
        <f ca="1">'Impairment Conclusion'!A2</f>
        <v>Impairment Conclusion</v>
      </c>
      <c r="C10" s="95"/>
    </row>
    <row r="11" spans="1:3" s="97" customFormat="1" ht="15" x14ac:dyDescent="0.25">
      <c r="A11" s="98"/>
      <c r="B11" s="100"/>
      <c r="C11" s="95"/>
    </row>
    <row r="12" spans="1:3" s="97" customFormat="1" ht="15" x14ac:dyDescent="0.25">
      <c r="B12" s="95"/>
      <c r="C12" s="95"/>
    </row>
    <row r="13" spans="1:3" ht="15" hidden="1" x14ac:dyDescent="0.25"/>
    <row r="14" spans="1:3" ht="15" hidden="1" x14ac:dyDescent="0.25"/>
    <row r="15" spans="1:3" ht="15" hidden="1" x14ac:dyDescent="0.25"/>
    <row r="16" spans="1:3" ht="15" hidden="1" x14ac:dyDescent="0.25"/>
    <row r="17" ht="15" hidden="1" x14ac:dyDescent="0.25"/>
    <row r="18" ht="15" hidden="1" x14ac:dyDescent="0.25"/>
    <row r="48" ht="0" hidden="1" customHeight="1" x14ac:dyDescent="0.25"/>
    <row r="49" ht="0" hidden="1" customHeight="1" x14ac:dyDescent="0.25"/>
  </sheetData>
  <hyperlinks>
    <hyperlink ref="B4" location="'Income Statement'!A2" display="'Income Statement'!A2" xr:uid="{8705FE0D-AF92-4005-9BCB-ACA4A71296C8}"/>
    <hyperlink ref="B5" location="'Financial Position'!A2" display="'Financial Position'!A2" xr:uid="{CE01A4D9-5FE6-4EDA-9483-2A8934D7819A}"/>
    <hyperlink ref="B6" location="Cashflow!A2" display="Cashflow!A2" xr:uid="{B5DC5839-25E3-4DE4-B35F-415553F5F05A}"/>
    <hyperlink ref="B7" location="'Discount Rate'!A2" display="'Discount Rate'!A2" xr:uid="{B4CE7585-5B0A-4395-961D-EFBF26A765DE}"/>
    <hyperlink ref="B8" location="'Enterprise Value'!A2" display="'Enterprise Value'!A2" xr:uid="{BFF71D63-F916-4F46-A4F7-4EB9D7841666}"/>
    <hyperlink ref="B9" location="'Equity Value'!A2" display="'Equity Value'!A2" xr:uid="{D01BB5EE-9BE8-4DA4-8852-39439D2A382C}"/>
  </hyperlinks>
  <pageMargins left="0.51181102362204722" right="0.51181102362204722" top="0.74803149606299213" bottom="0.74803149606299213" header="0.31496062992125984" footer="0.31496062992125984"/>
  <pageSetup paperSize="9" fitToHeight="0" orientation="portrait" r:id="rId1"/>
  <headerFooter>
    <oddFooter>&amp;C&amp;9Page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F1D86-BC9E-4C28-AEAE-A66B84324A9B}">
  <sheetPr codeName="Sheet4">
    <tabColor rgb="FF8B634B"/>
  </sheetPr>
  <dimension ref="A1:S53"/>
  <sheetViews>
    <sheetView showGridLines="0" workbookViewId="0">
      <pane ySplit="4" topLeftCell="A5" activePane="bottomLeft" state="frozen"/>
      <selection activeCell="A6" sqref="A6"/>
      <selection pane="bottomLeft" activeCell="A3" sqref="A3"/>
    </sheetView>
  </sheetViews>
  <sheetFormatPr defaultColWidth="0" defaultRowHeight="15" zeroHeight="1" outlineLevelCol="1" x14ac:dyDescent="0.25"/>
  <cols>
    <col min="1" max="1" width="32.85546875" customWidth="1"/>
    <col min="2" max="3" width="3.7109375" hidden="1" customWidth="1" outlineLevel="1"/>
    <col min="4" max="4" width="8.42578125" customWidth="1" collapsed="1"/>
    <col min="5" max="10" width="8.42578125" customWidth="1"/>
    <col min="11" max="19" width="0" hidden="1" customWidth="1"/>
    <col min="20" max="16384" width="9.140625" hidden="1"/>
  </cols>
  <sheetData>
    <row r="1" spans="1:10" x14ac:dyDescent="0.25">
      <c r="A1" s="17" t="str">
        <f>Scope&amp;Subject</f>
        <v>Limited Scope Impairment Analysis of Subject Pty Limited</v>
      </c>
      <c r="B1" s="17"/>
      <c r="C1" s="17"/>
    </row>
    <row r="2" spans="1:10" ht="21" x14ac:dyDescent="0.35">
      <c r="A2" s="4" t="str">
        <f ca="1">MID(CELL("Filename",A1),FIND("]",CELL("Filename",A1))+1,255)</f>
        <v>Income Statement</v>
      </c>
      <c r="B2" s="4"/>
      <c r="C2" s="4"/>
    </row>
    <row r="3" spans="1:10" x14ac:dyDescent="0.25"/>
    <row r="4" spans="1:10" x14ac:dyDescent="0.25">
      <c r="A4" s="1" t="str">
        <f>Units</f>
        <v>$'000</v>
      </c>
      <c r="B4" s="1"/>
      <c r="C4" s="1"/>
      <c r="D4" s="41">
        <f>EOMONTH(E4,-12)</f>
        <v>43646</v>
      </c>
      <c r="E4" s="41">
        <f>Last_YE</f>
        <v>44012</v>
      </c>
      <c r="F4" s="19">
        <f>EOMONTH(E4,12)</f>
        <v>44377</v>
      </c>
      <c r="G4" s="19">
        <f t="shared" ref="G4:J4" si="0">EOMONTH(F4,12)</f>
        <v>44742</v>
      </c>
      <c r="H4" s="19">
        <f t="shared" si="0"/>
        <v>45107</v>
      </c>
      <c r="I4" s="19">
        <f t="shared" si="0"/>
        <v>45473</v>
      </c>
      <c r="J4" s="19">
        <f t="shared" si="0"/>
        <v>45838</v>
      </c>
    </row>
    <row r="5" spans="1:10" x14ac:dyDescent="0.25">
      <c r="D5" s="42"/>
      <c r="E5" s="42"/>
    </row>
    <row r="6" spans="1:10" x14ac:dyDescent="0.25">
      <c r="A6" t="str">
        <f>"Revenue - "&amp;Segment_1</f>
        <v>Revenue - Widgets</v>
      </c>
      <c r="D6" s="49">
        <f>'Data and assumptions'!D7</f>
        <v>100</v>
      </c>
      <c r="E6" s="49">
        <f>'Data and assumptions'!E7</f>
        <v>110</v>
      </c>
      <c r="F6" s="50">
        <f>'Data and assumptions'!F7</f>
        <v>126.49999999999999</v>
      </c>
      <c r="G6" s="50">
        <f>'Data and assumptions'!G7</f>
        <v>139.15</v>
      </c>
      <c r="H6" s="50">
        <f>'Data and assumptions'!H7</f>
        <v>149.58625000000001</v>
      </c>
      <c r="I6" s="50">
        <f>'Data and assumptions'!I7</f>
        <v>157.06556250000003</v>
      </c>
      <c r="J6" s="50">
        <f>'Data and assumptions'!J7</f>
        <v>164.91884062500003</v>
      </c>
    </row>
    <row r="7" spans="1:10" x14ac:dyDescent="0.25">
      <c r="A7" t="str">
        <f>"Revenue - "&amp;Segment_2</f>
        <v>Revenue - Wobbles</v>
      </c>
      <c r="D7" s="49">
        <f>'Data and assumptions'!D8</f>
        <v>55</v>
      </c>
      <c r="E7" s="49">
        <f>'Data and assumptions'!E8</f>
        <v>60</v>
      </c>
      <c r="F7" s="50">
        <f>'Data and assumptions'!F8</f>
        <v>66</v>
      </c>
      <c r="G7" s="50">
        <f>'Data and assumptions'!G8</f>
        <v>72.600000000000009</v>
      </c>
      <c r="H7" s="50">
        <f>'Data and assumptions'!H8</f>
        <v>79.860000000000014</v>
      </c>
      <c r="I7" s="50">
        <f>'Data and assumptions'!I8</f>
        <v>87.846000000000018</v>
      </c>
      <c r="J7" s="50">
        <f>'Data and assumptions'!J8</f>
        <v>94.434450000000012</v>
      </c>
    </row>
    <row r="8" spans="1:10" x14ac:dyDescent="0.25">
      <c r="A8" t="str">
        <f>"Revenue - "&amp;Segment_3</f>
        <v>Revenue - Wizzles</v>
      </c>
      <c r="D8" s="49">
        <f>'Data and assumptions'!D9</f>
        <v>50</v>
      </c>
      <c r="E8" s="49">
        <f>'Data and assumptions'!E9</f>
        <v>40</v>
      </c>
      <c r="F8" s="50">
        <f>'Data and assumptions'!F9</f>
        <v>36</v>
      </c>
      <c r="G8" s="50">
        <f>'Data and assumptions'!G9</f>
        <v>18</v>
      </c>
      <c r="H8" s="50">
        <f>'Data and assumptions'!H9</f>
        <v>0</v>
      </c>
      <c r="I8" s="50">
        <f>'Data and assumptions'!I9</f>
        <v>0</v>
      </c>
      <c r="J8" s="50">
        <f>'Data and assumptions'!J9</f>
        <v>0</v>
      </c>
    </row>
    <row r="9" spans="1:10" x14ac:dyDescent="0.25">
      <c r="A9" t="str">
        <f>"Revenue - "&amp;Segment_4</f>
        <v>Revenue - Wonks</v>
      </c>
      <c r="D9" s="49">
        <f>'Data and assumptions'!D10</f>
        <v>25</v>
      </c>
      <c r="E9" s="49">
        <f>'Data and assumptions'!E10</f>
        <v>29</v>
      </c>
      <c r="F9" s="50">
        <f>'Data and assumptions'!F10</f>
        <v>36.25</v>
      </c>
      <c r="G9" s="50">
        <f>'Data and assumptions'!G10</f>
        <v>54.375</v>
      </c>
      <c r="H9" s="50">
        <f>'Data and assumptions'!H10</f>
        <v>67.96875</v>
      </c>
      <c r="I9" s="50">
        <f>'Data and assumptions'!I10</f>
        <v>78.1640625</v>
      </c>
      <c r="J9" s="50">
        <f>'Data and assumptions'!J10</f>
        <v>82.072265625</v>
      </c>
    </row>
    <row r="10" spans="1:10" x14ac:dyDescent="0.25">
      <c r="A10" t="str">
        <f>"Revenue - "&amp;Segment_5</f>
        <v>Revenue - Weebats</v>
      </c>
      <c r="D10" s="49">
        <f>'Data and assumptions'!D11</f>
        <v>5</v>
      </c>
      <c r="E10" s="49">
        <f>'Data and assumptions'!E11</f>
        <v>6</v>
      </c>
      <c r="F10" s="50">
        <f>'Data and assumptions'!F11</f>
        <v>12</v>
      </c>
      <c r="G10" s="50">
        <f>'Data and assumptions'!G11</f>
        <v>18</v>
      </c>
      <c r="H10" s="50">
        <f>'Data and assumptions'!H11</f>
        <v>22.5</v>
      </c>
      <c r="I10" s="50">
        <f>'Data and assumptions'!I11</f>
        <v>25.874999999999996</v>
      </c>
      <c r="J10" s="50">
        <f>'Data and assumptions'!J11</f>
        <v>27.168749999999996</v>
      </c>
    </row>
    <row r="11" spans="1:10" x14ac:dyDescent="0.25">
      <c r="A11" s="1" t="s">
        <v>33</v>
      </c>
      <c r="B11" s="1"/>
      <c r="C11" s="1"/>
      <c r="D11" s="51">
        <f>SUM(D6:D10)</f>
        <v>235</v>
      </c>
      <c r="E11" s="51">
        <f>SUM(E6:E10)</f>
        <v>245</v>
      </c>
      <c r="F11" s="52">
        <f t="shared" ref="F11:J11" si="1">SUM(F6:F10)</f>
        <v>276.75</v>
      </c>
      <c r="G11" s="52">
        <f t="shared" si="1"/>
        <v>302.125</v>
      </c>
      <c r="H11" s="52">
        <f t="shared" si="1"/>
        <v>319.91500000000002</v>
      </c>
      <c r="I11" s="52">
        <f t="shared" si="1"/>
        <v>348.95062500000006</v>
      </c>
      <c r="J11" s="52">
        <f t="shared" si="1"/>
        <v>368.59430625000005</v>
      </c>
    </row>
    <row r="12" spans="1:10" x14ac:dyDescent="0.25">
      <c r="A12" s="6" t="s">
        <v>28</v>
      </c>
      <c r="B12" s="6"/>
      <c r="C12" s="6"/>
      <c r="D12" s="43"/>
      <c r="E12" s="44">
        <f t="shared" ref="E12:J12" si="2">IFERROR(E11/D11-1,"")</f>
        <v>4.2553191489361764E-2</v>
      </c>
      <c r="F12" s="40">
        <f t="shared" si="2"/>
        <v>0.12959183673469399</v>
      </c>
      <c r="G12" s="40">
        <f t="shared" si="2"/>
        <v>9.1689250225835517E-2</v>
      </c>
      <c r="H12" s="40">
        <f t="shared" si="2"/>
        <v>5.8882912701696322E-2</v>
      </c>
      <c r="I12" s="40">
        <f t="shared" si="2"/>
        <v>9.0760436365909802E-2</v>
      </c>
      <c r="J12" s="40">
        <f t="shared" si="2"/>
        <v>5.6293583798567415E-2</v>
      </c>
    </row>
    <row r="13" spans="1:10" x14ac:dyDescent="0.25">
      <c r="D13" s="42"/>
      <c r="E13" s="42"/>
    </row>
    <row r="14" spans="1:10" x14ac:dyDescent="0.25">
      <c r="A14" t="str">
        <f>"Cost of sales - "&amp;Segment_1</f>
        <v>Cost of sales - Widgets</v>
      </c>
      <c r="D14" s="49">
        <f>'Data and assumptions'!D23</f>
        <v>60</v>
      </c>
      <c r="E14" s="49">
        <f>'Data and assumptions'!E23</f>
        <v>65</v>
      </c>
      <c r="F14" s="50">
        <f>'Data and assumptions'!F23</f>
        <v>75.899999999999991</v>
      </c>
      <c r="G14" s="50">
        <f>'Data and assumptions'!G23</f>
        <v>83.49</v>
      </c>
      <c r="H14" s="50">
        <f>'Data and assumptions'!H23</f>
        <v>89.751750000000001</v>
      </c>
      <c r="I14" s="50">
        <f>'Data and assumptions'!I23</f>
        <v>94.239337500000019</v>
      </c>
      <c r="J14" s="50">
        <f>'Data and assumptions'!J23</f>
        <v>98.951304375000021</v>
      </c>
    </row>
    <row r="15" spans="1:10" x14ac:dyDescent="0.25">
      <c r="A15" t="str">
        <f>"Cost of sales - "&amp;Segment_2</f>
        <v>Cost of sales - Wobbles</v>
      </c>
      <c r="D15" s="49">
        <f>'Data and assumptions'!D24</f>
        <v>25</v>
      </c>
      <c r="E15" s="49">
        <f>'Data and assumptions'!E24</f>
        <v>30</v>
      </c>
      <c r="F15" s="50">
        <f>'Data and assumptions'!F24</f>
        <v>29.699999999999996</v>
      </c>
      <c r="G15" s="50">
        <f>'Data and assumptions'!G24</f>
        <v>32.67</v>
      </c>
      <c r="H15" s="50">
        <f>'Data and assumptions'!H24</f>
        <v>35.937000000000005</v>
      </c>
      <c r="I15" s="50">
        <f>'Data and assumptions'!I24</f>
        <v>39.530700000000003</v>
      </c>
      <c r="J15" s="50">
        <f>'Data and assumptions'!J24</f>
        <v>42.495502500000001</v>
      </c>
    </row>
    <row r="16" spans="1:10" x14ac:dyDescent="0.25">
      <c r="A16" t="str">
        <f>"Cost of sales - "&amp;Segment_3</f>
        <v>Cost of sales - Wizzles</v>
      </c>
      <c r="D16" s="49">
        <f>'Data and assumptions'!D25</f>
        <v>35</v>
      </c>
      <c r="E16" s="49">
        <f>'Data and assumptions'!E25</f>
        <v>30</v>
      </c>
      <c r="F16" s="50">
        <f>'Data and assumptions'!F25</f>
        <v>28.8</v>
      </c>
      <c r="G16" s="50">
        <f>'Data and assumptions'!G25</f>
        <v>14.4</v>
      </c>
      <c r="H16" s="50">
        <f>'Data and assumptions'!H25</f>
        <v>0</v>
      </c>
      <c r="I16" s="50">
        <f>'Data and assumptions'!I25</f>
        <v>0</v>
      </c>
      <c r="J16" s="50">
        <f>'Data and assumptions'!J25</f>
        <v>0</v>
      </c>
    </row>
    <row r="17" spans="1:10" x14ac:dyDescent="0.25">
      <c r="A17" t="str">
        <f>"Cost of sales - "&amp;Segment_4</f>
        <v>Cost of sales - Wonks</v>
      </c>
      <c r="D17" s="49">
        <f>'Data and assumptions'!D26</f>
        <v>15</v>
      </c>
      <c r="E17" s="49">
        <f>'Data and assumptions'!E26</f>
        <v>17</v>
      </c>
      <c r="F17" s="50">
        <f>'Data and assumptions'!F26</f>
        <v>19.9375</v>
      </c>
      <c r="G17" s="50">
        <f>'Data and assumptions'!G26</f>
        <v>27.1875</v>
      </c>
      <c r="H17" s="50">
        <f>'Data and assumptions'!H26</f>
        <v>30.585937499999996</v>
      </c>
      <c r="I17" s="50">
        <f>'Data and assumptions'!I26</f>
        <v>35.173828125</v>
      </c>
      <c r="J17" s="50">
        <f>'Data and assumptions'!J26</f>
        <v>36.932519531249994</v>
      </c>
    </row>
    <row r="18" spans="1:10" x14ac:dyDescent="0.25">
      <c r="A18" t="str">
        <f>"Cost of sales - "&amp;Segment_5</f>
        <v>Cost of sales - Weebats</v>
      </c>
      <c r="D18" s="49">
        <f>'Data and assumptions'!D27</f>
        <v>5</v>
      </c>
      <c r="E18" s="49">
        <f>'Data and assumptions'!E27</f>
        <v>6</v>
      </c>
      <c r="F18" s="50">
        <f>'Data and assumptions'!F27</f>
        <v>11.399999999999999</v>
      </c>
      <c r="G18" s="50">
        <f>'Data and assumptions'!G27</f>
        <v>16.2</v>
      </c>
      <c r="H18" s="50">
        <f>'Data and assumptions'!H27</f>
        <v>19.125</v>
      </c>
      <c r="I18" s="50">
        <f>'Data and assumptions'!I27</f>
        <v>19.406249999999996</v>
      </c>
      <c r="J18" s="50">
        <f>'Data and assumptions'!J27</f>
        <v>20.376562499999999</v>
      </c>
    </row>
    <row r="19" spans="1:10" x14ac:dyDescent="0.25">
      <c r="D19" s="51">
        <f>SUM(D14:D18)</f>
        <v>140</v>
      </c>
      <c r="E19" s="51">
        <f>SUM(E14:E18)</f>
        <v>148</v>
      </c>
      <c r="F19" s="52">
        <f t="shared" ref="F19:J19" si="3">SUM(F14:F18)</f>
        <v>165.73750000000001</v>
      </c>
      <c r="G19" s="52">
        <f t="shared" si="3"/>
        <v>173.94749999999999</v>
      </c>
      <c r="H19" s="52">
        <f t="shared" si="3"/>
        <v>175.3996875</v>
      </c>
      <c r="I19" s="52">
        <f t="shared" si="3"/>
        <v>188.35011562500003</v>
      </c>
      <c r="J19" s="52">
        <f t="shared" si="3"/>
        <v>198.75588890625002</v>
      </c>
    </row>
    <row r="20" spans="1:10" x14ac:dyDescent="0.25">
      <c r="D20" s="49"/>
      <c r="E20" s="49"/>
      <c r="F20" s="50"/>
      <c r="G20" s="50"/>
      <c r="H20" s="50"/>
      <c r="I20" s="50"/>
      <c r="J20" s="50"/>
    </row>
    <row r="21" spans="1:10" x14ac:dyDescent="0.25">
      <c r="A21" s="1" t="s">
        <v>87</v>
      </c>
      <c r="B21" s="1"/>
      <c r="C21" s="1"/>
      <c r="D21" s="61">
        <f t="shared" ref="D21:J21" si="4">D11-D19</f>
        <v>95</v>
      </c>
      <c r="E21" s="61">
        <f t="shared" si="4"/>
        <v>97</v>
      </c>
      <c r="F21" s="62">
        <f t="shared" si="4"/>
        <v>111.01249999999999</v>
      </c>
      <c r="G21" s="62">
        <f t="shared" si="4"/>
        <v>128.17750000000001</v>
      </c>
      <c r="H21" s="62">
        <f t="shared" si="4"/>
        <v>144.51531250000002</v>
      </c>
      <c r="I21" s="62">
        <f t="shared" si="4"/>
        <v>160.60050937500003</v>
      </c>
      <c r="J21" s="62">
        <f t="shared" si="4"/>
        <v>169.83841734375002</v>
      </c>
    </row>
    <row r="22" spans="1:10" x14ac:dyDescent="0.25">
      <c r="A22" s="6" t="s">
        <v>88</v>
      </c>
      <c r="B22" s="6"/>
      <c r="C22" s="6"/>
      <c r="D22" s="46">
        <f t="shared" ref="D22:J22" si="5">IFERROR((D11-D19)/D11,"")</f>
        <v>0.40425531914893614</v>
      </c>
      <c r="E22" s="46">
        <f t="shared" si="5"/>
        <v>0.39591836734693875</v>
      </c>
      <c r="F22" s="45">
        <f t="shared" si="5"/>
        <v>0.40112917795844621</v>
      </c>
      <c r="G22" s="45">
        <f t="shared" si="5"/>
        <v>0.42425320645428222</v>
      </c>
      <c r="H22" s="45">
        <f t="shared" si="5"/>
        <v>0.45173034243470928</v>
      </c>
      <c r="I22" s="45">
        <f t="shared" si="5"/>
        <v>0.46023849183534205</v>
      </c>
      <c r="J22" s="45">
        <f t="shared" si="5"/>
        <v>0.46077330676007966</v>
      </c>
    </row>
    <row r="23" spans="1:10" x14ac:dyDescent="0.25">
      <c r="D23" s="42"/>
      <c r="E23" s="42"/>
    </row>
    <row r="24" spans="1:10" x14ac:dyDescent="0.25">
      <c r="A24" t="str">
        <f>'Data and assumptions'!A42</f>
        <v>Expense 1</v>
      </c>
      <c r="D24" s="49">
        <f>'Data and assumptions'!D42</f>
        <v>10</v>
      </c>
      <c r="E24" s="49">
        <f>'Data and assumptions'!E42</f>
        <v>10</v>
      </c>
      <c r="F24" s="50">
        <f>'Data and assumptions'!F42</f>
        <v>11.6235</v>
      </c>
      <c r="G24" s="50">
        <f>'Data and assumptions'!G42</f>
        <v>12.387125000000001</v>
      </c>
      <c r="H24" s="50">
        <f>'Data and assumptions'!H42</f>
        <v>12.796600000000002</v>
      </c>
      <c r="I24" s="50">
        <f>'Data and assumptions'!I42</f>
        <v>13.958025000000003</v>
      </c>
      <c r="J24" s="50">
        <f>'Data and assumptions'!J42</f>
        <v>14.743772250000003</v>
      </c>
    </row>
    <row r="25" spans="1:10" x14ac:dyDescent="0.25">
      <c r="A25" t="str">
        <f>'Data and assumptions'!A43</f>
        <v>Expense 2</v>
      </c>
      <c r="D25" s="49">
        <f>'Data and assumptions'!D43</f>
        <v>10</v>
      </c>
      <c r="E25" s="49">
        <f>'Data and assumptions'!E43</f>
        <v>10</v>
      </c>
      <c r="F25" s="50">
        <f>'Data and assumptions'!F43</f>
        <v>12.453749999999999</v>
      </c>
      <c r="G25" s="50">
        <f>'Data and assumptions'!G43</f>
        <v>15.106250000000001</v>
      </c>
      <c r="H25" s="50">
        <f>'Data and assumptions'!H43</f>
        <v>15.995750000000001</v>
      </c>
      <c r="I25" s="50">
        <f>'Data and assumptions'!I43</f>
        <v>17.447531250000004</v>
      </c>
      <c r="J25" s="50">
        <f>'Data and assumptions'!J43</f>
        <v>18.429715312500004</v>
      </c>
    </row>
    <row r="26" spans="1:10" x14ac:dyDescent="0.25">
      <c r="A26" t="str">
        <f>'Data and assumptions'!A44</f>
        <v>Expense 3</v>
      </c>
      <c r="D26" s="49">
        <f>'Data and assumptions'!D44</f>
        <v>5</v>
      </c>
      <c r="E26" s="49">
        <f>'Data and assumptions'!E44</f>
        <v>5</v>
      </c>
      <c r="F26" s="50">
        <f>'Data and assumptions'!F44</f>
        <v>5.5350000000000001</v>
      </c>
      <c r="G26" s="50">
        <f>'Data and assumptions'!G44</f>
        <v>6.0425000000000004</v>
      </c>
      <c r="H26" s="50">
        <f>'Data and assumptions'!H44</f>
        <v>6.3983000000000008</v>
      </c>
      <c r="I26" s="50">
        <f>'Data and assumptions'!I44</f>
        <v>6.9790125000000014</v>
      </c>
      <c r="J26" s="50">
        <f>'Data and assumptions'!J44</f>
        <v>7.3718861250000014</v>
      </c>
    </row>
    <row r="27" spans="1:10" x14ac:dyDescent="0.25">
      <c r="A27" t="str">
        <f>'Data and assumptions'!A45</f>
        <v>Expense 4</v>
      </c>
      <c r="D27" s="49">
        <f>'Data and assumptions'!D45</f>
        <v>5</v>
      </c>
      <c r="E27" s="49">
        <f>'Data and assumptions'!E45</f>
        <v>5</v>
      </c>
      <c r="F27" s="50">
        <f>'Data and assumptions'!F45</f>
        <v>5.125</v>
      </c>
      <c r="G27" s="50">
        <f>'Data and assumptions'!G45</f>
        <v>5.2531249999999998</v>
      </c>
      <c r="H27" s="50">
        <f>'Data and assumptions'!H45</f>
        <v>5.3844531249999994</v>
      </c>
      <c r="I27" s="50">
        <f>'Data and assumptions'!I45</f>
        <v>5.519064453124999</v>
      </c>
      <c r="J27" s="50">
        <f>'Data and assumptions'!J45</f>
        <v>5.6570410644531233</v>
      </c>
    </row>
    <row r="28" spans="1:10" x14ac:dyDescent="0.25">
      <c r="A28" t="str">
        <f>'Data and assumptions'!A46</f>
        <v>Expense 5</v>
      </c>
      <c r="D28" s="49">
        <f>'Data and assumptions'!D46</f>
        <v>5</v>
      </c>
      <c r="E28" s="49">
        <f>'Data and assumptions'!E46</f>
        <v>5</v>
      </c>
      <c r="F28" s="50">
        <f>'Data and assumptions'!F46</f>
        <v>5.125</v>
      </c>
      <c r="G28" s="50">
        <f>'Data and assumptions'!G46</f>
        <v>5.2531249999999998</v>
      </c>
      <c r="H28" s="50">
        <f>'Data and assumptions'!H46</f>
        <v>5.3844531249999994</v>
      </c>
      <c r="I28" s="50">
        <f>'Data and assumptions'!I46</f>
        <v>5.519064453124999</v>
      </c>
      <c r="J28" s="50">
        <f>'Data and assumptions'!J46</f>
        <v>5.6570410644531233</v>
      </c>
    </row>
    <row r="29" spans="1:10" x14ac:dyDescent="0.25">
      <c r="A29" t="str">
        <f>'Data and assumptions'!A47</f>
        <v>Expense 6</v>
      </c>
      <c r="D29" s="49">
        <f>'Data and assumptions'!D47</f>
        <v>5</v>
      </c>
      <c r="E29" s="49">
        <f>'Data and assumptions'!E47</f>
        <v>5</v>
      </c>
      <c r="F29" s="50">
        <f>'Data and assumptions'!F47</f>
        <v>5.125</v>
      </c>
      <c r="G29" s="50">
        <f>'Data and assumptions'!G47</f>
        <v>5.2531249999999998</v>
      </c>
      <c r="H29" s="50">
        <f>'Data and assumptions'!H47</f>
        <v>5.3844531249999994</v>
      </c>
      <c r="I29" s="50">
        <f>'Data and assumptions'!I47</f>
        <v>5.519064453124999</v>
      </c>
      <c r="J29" s="50">
        <f>'Data and assumptions'!J47</f>
        <v>5.6570410644531233</v>
      </c>
    </row>
    <row r="30" spans="1:10" x14ac:dyDescent="0.25">
      <c r="A30" t="str">
        <f>'Data and assumptions'!A48</f>
        <v>Expense 7</v>
      </c>
      <c r="D30" s="49">
        <f>'Data and assumptions'!D48</f>
        <v>5</v>
      </c>
      <c r="E30" s="49">
        <f>'Data and assumptions'!E48</f>
        <v>5</v>
      </c>
      <c r="F30" s="50">
        <f>'Data and assumptions'!F48</f>
        <v>5.125</v>
      </c>
      <c r="G30" s="50">
        <f>'Data and assumptions'!G48</f>
        <v>5.2531249999999998</v>
      </c>
      <c r="H30" s="50">
        <f>'Data and assumptions'!H48</f>
        <v>5.3844531249999994</v>
      </c>
      <c r="I30" s="50">
        <f>'Data and assumptions'!I48</f>
        <v>5.519064453124999</v>
      </c>
      <c r="J30" s="50">
        <f>'Data and assumptions'!J48</f>
        <v>5.6570410644531233</v>
      </c>
    </row>
    <row r="31" spans="1:10" x14ac:dyDescent="0.25">
      <c r="A31" t="str">
        <f>'Data and assumptions'!A49</f>
        <v>Expense 8</v>
      </c>
      <c r="D31" s="49">
        <f>'Data and assumptions'!D49</f>
        <v>2</v>
      </c>
      <c r="E31" s="49">
        <f>'Data and assumptions'!E49</f>
        <v>3</v>
      </c>
      <c r="F31" s="50">
        <f>'Data and assumptions'!F49</f>
        <v>3.0749999999999997</v>
      </c>
      <c r="G31" s="50">
        <f>'Data and assumptions'!G49</f>
        <v>3.1518749999999995</v>
      </c>
      <c r="H31" s="50">
        <f>'Data and assumptions'!H49</f>
        <v>3.2306718749999992</v>
      </c>
      <c r="I31" s="50">
        <f>'Data and assumptions'!I49</f>
        <v>3.3114386718749991</v>
      </c>
      <c r="J31" s="50">
        <f>'Data and assumptions'!J49</f>
        <v>3.394224638671874</v>
      </c>
    </row>
    <row r="32" spans="1:10" x14ac:dyDescent="0.25">
      <c r="A32" t="str">
        <f>'Data and assumptions'!A50</f>
        <v>Expense 9</v>
      </c>
      <c r="D32" s="49">
        <f>'Data and assumptions'!D50</f>
        <v>2</v>
      </c>
      <c r="E32" s="49">
        <f>'Data and assumptions'!E50</f>
        <v>3</v>
      </c>
      <c r="F32" s="50">
        <f>'Data and assumptions'!F50</f>
        <v>3.0749999999999997</v>
      </c>
      <c r="G32" s="50">
        <f>'Data and assumptions'!G50</f>
        <v>3.1518749999999995</v>
      </c>
      <c r="H32" s="50">
        <f>'Data and assumptions'!H50</f>
        <v>3.2306718749999992</v>
      </c>
      <c r="I32" s="50">
        <f>'Data and assumptions'!I50</f>
        <v>3.3114386718749991</v>
      </c>
      <c r="J32" s="50">
        <f>'Data and assumptions'!J50</f>
        <v>3.394224638671874</v>
      </c>
    </row>
    <row r="33" spans="1:10" x14ac:dyDescent="0.25">
      <c r="A33" t="str">
        <f>'Data and assumptions'!A51</f>
        <v>Expense 10</v>
      </c>
      <c r="D33" s="53">
        <f>'Data and assumptions'!D51</f>
        <v>1</v>
      </c>
      <c r="E33" s="53">
        <f>'Data and assumptions'!E51</f>
        <v>1</v>
      </c>
      <c r="F33" s="54">
        <f>'Data and assumptions'!F51</f>
        <v>1.0249999999999999</v>
      </c>
      <c r="G33" s="54">
        <f>'Data and assumptions'!G51</f>
        <v>1.0506249999999999</v>
      </c>
      <c r="H33" s="54">
        <f>'Data and assumptions'!H51</f>
        <v>1.0768906249999999</v>
      </c>
      <c r="I33" s="54">
        <f>'Data and assumptions'!I51</f>
        <v>1.1038128906249998</v>
      </c>
      <c r="J33" s="54">
        <f>'Data and assumptions'!J51</f>
        <v>1.1314082128906247</v>
      </c>
    </row>
    <row r="34" spans="1:10" x14ac:dyDescent="0.25">
      <c r="A34" s="1" t="s">
        <v>48</v>
      </c>
      <c r="B34" s="1"/>
      <c r="C34" s="1"/>
      <c r="D34" s="63">
        <f t="shared" ref="D34:J34" si="6">D21-SUM(D24:D33)</f>
        <v>45</v>
      </c>
      <c r="E34" s="63">
        <f t="shared" si="6"/>
        <v>45</v>
      </c>
      <c r="F34" s="64">
        <f t="shared" si="6"/>
        <v>53.725249999999981</v>
      </c>
      <c r="G34" s="64">
        <f t="shared" si="6"/>
        <v>66.274750000000026</v>
      </c>
      <c r="H34" s="64">
        <f t="shared" si="6"/>
        <v>80.248615625000014</v>
      </c>
      <c r="I34" s="64">
        <f t="shared" si="6"/>
        <v>92.412992578125042</v>
      </c>
      <c r="J34" s="64">
        <f t="shared" si="6"/>
        <v>98.745021908203142</v>
      </c>
    </row>
    <row r="35" spans="1:10" x14ac:dyDescent="0.25">
      <c r="A35" s="6" t="s">
        <v>50</v>
      </c>
      <c r="B35" s="6"/>
      <c r="C35" s="6"/>
      <c r="D35" s="47">
        <f t="shared" ref="D35:J35" si="7">D34/D11</f>
        <v>0.19148936170212766</v>
      </c>
      <c r="E35" s="47">
        <f t="shared" si="7"/>
        <v>0.18367346938775511</v>
      </c>
      <c r="F35" s="27">
        <f t="shared" si="7"/>
        <v>0.1941291779584462</v>
      </c>
      <c r="G35" s="27">
        <f t="shared" si="7"/>
        <v>0.21936201903185776</v>
      </c>
      <c r="H35" s="27">
        <f t="shared" si="7"/>
        <v>0.25084355414719539</v>
      </c>
      <c r="I35" s="27">
        <f t="shared" si="7"/>
        <v>0.2648311421655285</v>
      </c>
      <c r="J35" s="27">
        <f t="shared" si="7"/>
        <v>0.26789622149298498</v>
      </c>
    </row>
    <row r="36" spans="1:10" x14ac:dyDescent="0.25">
      <c r="D36" s="42"/>
      <c r="E36" s="42"/>
    </row>
    <row r="37" spans="1:10" x14ac:dyDescent="0.25">
      <c r="A37" t="s">
        <v>59</v>
      </c>
      <c r="D37" s="49">
        <f>'Data and assumptions'!D74</f>
        <v>10</v>
      </c>
      <c r="E37" s="49">
        <f>'Data and assumptions'!E74</f>
        <v>9</v>
      </c>
      <c r="F37" s="50">
        <f>'Data and assumptions'!F74</f>
        <v>17.25</v>
      </c>
      <c r="G37" s="50">
        <f>'Data and assumptions'!G74</f>
        <v>16.162499999999998</v>
      </c>
      <c r="H37" s="50">
        <f>'Data and assumptions'!H74</f>
        <v>15.238125</v>
      </c>
      <c r="I37" s="50">
        <f>'Data and assumptions'!I74</f>
        <v>14.602406250000001</v>
      </c>
      <c r="J37" s="50">
        <f>'Data and assumptions'!J74</f>
        <v>14.0620453125</v>
      </c>
    </row>
    <row r="38" spans="1:10" x14ac:dyDescent="0.25">
      <c r="A38" t="s">
        <v>89</v>
      </c>
      <c r="D38" s="53">
        <f>'Data and assumptions'!D83</f>
        <v>2</v>
      </c>
      <c r="E38" s="53">
        <f>'Data and assumptions'!E83</f>
        <v>2</v>
      </c>
      <c r="F38" s="54">
        <f>'Data and assumptions'!F83</f>
        <v>2</v>
      </c>
      <c r="G38" s="54">
        <f>'Data and assumptions'!G83</f>
        <v>2</v>
      </c>
      <c r="H38" s="54">
        <f>'Data and assumptions'!H83</f>
        <v>2</v>
      </c>
      <c r="I38" s="54">
        <f>'Data and assumptions'!I83</f>
        <v>2</v>
      </c>
      <c r="J38" s="54">
        <f>'Data and assumptions'!J83</f>
        <v>2</v>
      </c>
    </row>
    <row r="39" spans="1:10" x14ac:dyDescent="0.25">
      <c r="A39" s="1" t="s">
        <v>90</v>
      </c>
      <c r="B39" s="1"/>
      <c r="C39" s="1"/>
      <c r="D39" s="63">
        <f>D34-D37-D38</f>
        <v>33</v>
      </c>
      <c r="E39" s="63">
        <f t="shared" ref="E39:J39" si="8">E34-E37-E38</f>
        <v>34</v>
      </c>
      <c r="F39" s="64">
        <f t="shared" si="8"/>
        <v>34.475249999999981</v>
      </c>
      <c r="G39" s="64">
        <f t="shared" si="8"/>
        <v>48.112250000000031</v>
      </c>
      <c r="H39" s="64">
        <f t="shared" si="8"/>
        <v>63.010490625000017</v>
      </c>
      <c r="I39" s="64">
        <f t="shared" si="8"/>
        <v>75.810586328125041</v>
      </c>
      <c r="J39" s="64">
        <f t="shared" si="8"/>
        <v>82.682976595703138</v>
      </c>
    </row>
    <row r="40" spans="1:10" x14ac:dyDescent="0.25">
      <c r="A40" s="6" t="s">
        <v>91</v>
      </c>
      <c r="B40" s="6"/>
      <c r="C40" s="6"/>
      <c r="D40" s="49"/>
      <c r="E40" s="49"/>
      <c r="F40" s="50"/>
      <c r="G40" s="50"/>
      <c r="H40" s="50"/>
      <c r="I40" s="50"/>
      <c r="J40" s="50"/>
    </row>
    <row r="41" spans="1:10" x14ac:dyDescent="0.25">
      <c r="D41" s="49"/>
      <c r="E41" s="49"/>
      <c r="F41" s="50"/>
      <c r="G41" s="50"/>
      <c r="H41" s="50"/>
      <c r="I41" s="50"/>
      <c r="J41" s="50"/>
    </row>
    <row r="42" spans="1:10" x14ac:dyDescent="0.25">
      <c r="A42" t="s">
        <v>79</v>
      </c>
      <c r="D42" s="49">
        <f>'Data and assumptions'!D100</f>
        <v>1</v>
      </c>
      <c r="E42" s="49">
        <f>'Data and assumptions'!E100</f>
        <v>1</v>
      </c>
      <c r="F42" s="50">
        <f>'Data and assumptions'!F100</f>
        <v>0.94000000000000006</v>
      </c>
      <c r="G42" s="50">
        <f>'Data and assumptions'!G100</f>
        <v>1</v>
      </c>
      <c r="H42" s="50">
        <f>'Data and assumptions'!H100</f>
        <v>1</v>
      </c>
      <c r="I42" s="50">
        <f>'Data and assumptions'!I100</f>
        <v>1</v>
      </c>
      <c r="J42" s="50">
        <f>'Data and assumptions'!J100</f>
        <v>1</v>
      </c>
    </row>
    <row r="43" spans="1:10" x14ac:dyDescent="0.25">
      <c r="A43" t="s">
        <v>86</v>
      </c>
      <c r="D43" s="53">
        <f>'Data and assumptions'!D107</f>
        <v>8</v>
      </c>
      <c r="E43" s="53">
        <f>'Data and assumptions'!E107</f>
        <v>9</v>
      </c>
      <c r="F43" s="54">
        <f>'Data and assumptions'!F107</f>
        <v>7.1999999999999993</v>
      </c>
      <c r="G43" s="54">
        <f>'Data and assumptions'!G107</f>
        <v>6.401765744681299</v>
      </c>
      <c r="H43" s="54">
        <f>'Data and assumptions'!H107</f>
        <v>5.4079037534058321</v>
      </c>
      <c r="I43" s="54">
        <f>'Data and assumptions'!I107</f>
        <v>4.3987403081981222</v>
      </c>
      <c r="J43" s="54">
        <f>'Data and assumptions'!J107</f>
        <v>3.353393615010229</v>
      </c>
    </row>
    <row r="44" spans="1:10" x14ac:dyDescent="0.25">
      <c r="A44" s="1" t="s">
        <v>92</v>
      </c>
      <c r="B44" s="1"/>
      <c r="C44" s="1"/>
      <c r="D44" s="63">
        <f>D39+D42-D43</f>
        <v>26</v>
      </c>
      <c r="E44" s="63">
        <f t="shared" ref="E44:J44" si="9">E39+E42-E43</f>
        <v>26</v>
      </c>
      <c r="F44" s="65">
        <f t="shared" si="9"/>
        <v>28.21524999999998</v>
      </c>
      <c r="G44" s="65">
        <f t="shared" si="9"/>
        <v>42.710484255318732</v>
      </c>
      <c r="H44" s="65">
        <f t="shared" si="9"/>
        <v>58.602586871594184</v>
      </c>
      <c r="I44" s="65">
        <f t="shared" si="9"/>
        <v>72.411846019926912</v>
      </c>
      <c r="J44" s="65">
        <f t="shared" si="9"/>
        <v>80.329582980692905</v>
      </c>
    </row>
    <row r="45" spans="1:10" x14ac:dyDescent="0.25">
      <c r="A45" t="s">
        <v>93</v>
      </c>
      <c r="D45" s="49">
        <f>'Data and assumptions'!D112</f>
        <v>7</v>
      </c>
      <c r="E45" s="49">
        <f>'Data and assumptions'!E112</f>
        <v>8</v>
      </c>
      <c r="F45" s="66">
        <f>'Data and assumptions'!F112</f>
        <v>9.8753374999999917</v>
      </c>
      <c r="G45" s="66">
        <f>'Data and assumptions'!G112</f>
        <v>14.948669489361555</v>
      </c>
      <c r="H45" s="66">
        <f>'Data and assumptions'!H112</f>
        <v>20.510905405057962</v>
      </c>
      <c r="I45" s="66">
        <f>'Data and assumptions'!I112</f>
        <v>25.344146106974417</v>
      </c>
      <c r="J45" s="66">
        <f>'Data and assumptions'!J112</f>
        <v>28.115354043242515</v>
      </c>
    </row>
    <row r="46" spans="1:10" ht="15.75" thickBot="1" x14ac:dyDescent="0.3">
      <c r="A46" s="1" t="s">
        <v>94</v>
      </c>
      <c r="B46" s="1"/>
      <c r="C46" s="1"/>
      <c r="D46" s="67">
        <f>D44-D45</f>
        <v>19</v>
      </c>
      <c r="E46" s="67">
        <f t="shared" ref="E46:J46" si="10">E44-E45</f>
        <v>18</v>
      </c>
      <c r="F46" s="68">
        <f t="shared" si="10"/>
        <v>18.33991249999999</v>
      </c>
      <c r="G46" s="68">
        <f t="shared" si="10"/>
        <v>27.761814765957176</v>
      </c>
      <c r="H46" s="68">
        <f t="shared" si="10"/>
        <v>38.091681466536222</v>
      </c>
      <c r="I46" s="68">
        <f t="shared" si="10"/>
        <v>47.067699912952492</v>
      </c>
      <c r="J46" s="68">
        <f t="shared" si="10"/>
        <v>52.214228937450386</v>
      </c>
    </row>
    <row r="47" spans="1:10" hidden="1" x14ac:dyDescent="0.25"/>
    <row r="48" spans="1:10" hidden="1" x14ac:dyDescent="0.25"/>
    <row r="49" hidden="1" x14ac:dyDescent="0.25"/>
    <row r="50" hidden="1" x14ac:dyDescent="0.25"/>
    <row r="51" hidden="1" x14ac:dyDescent="0.25"/>
    <row r="52" hidden="1" x14ac:dyDescent="0.25"/>
    <row r="53" hidden="1" x14ac:dyDescent="0.25"/>
  </sheetData>
  <pageMargins left="0.51181102362204722" right="0.51181102362204722" top="0.74803149606299213" bottom="0.74803149606299213" header="0.31496062992125984" footer="0.31496062992125984"/>
  <pageSetup paperSize="9" fitToHeight="0" orientation="portrait" r:id="rId1"/>
  <headerFooter>
    <oddFooter>&amp;C&amp;9Page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2CE51-46B2-4F7D-8630-C0CE2D415BE9}">
  <sheetPr codeName="Sheet5">
    <tabColor rgb="FF8B634B"/>
  </sheetPr>
  <dimension ref="A1:S47"/>
  <sheetViews>
    <sheetView showGridLines="0" workbookViewId="0">
      <pane ySplit="4" topLeftCell="A5" activePane="bottomLeft" state="frozen"/>
      <selection activeCell="A6" sqref="A6"/>
      <selection pane="bottomLeft" activeCell="A3" sqref="A3"/>
    </sheetView>
  </sheetViews>
  <sheetFormatPr defaultColWidth="0" defaultRowHeight="15" zeroHeight="1" outlineLevelCol="1" x14ac:dyDescent="0.25"/>
  <cols>
    <col min="1" max="1" width="32.85546875" customWidth="1"/>
    <col min="2" max="3" width="3.7109375" hidden="1" customWidth="1" outlineLevel="1"/>
    <col min="4" max="4" width="8.42578125" customWidth="1" collapsed="1"/>
    <col min="5" max="10" width="8.42578125" customWidth="1"/>
    <col min="11" max="19" width="0" hidden="1" customWidth="1"/>
    <col min="20" max="16384" width="9.140625" hidden="1"/>
  </cols>
  <sheetData>
    <row r="1" spans="1:10" x14ac:dyDescent="0.25">
      <c r="A1" s="17" t="str">
        <f>Scope&amp;Subject</f>
        <v>Limited Scope Impairment Analysis of Subject Pty Limited</v>
      </c>
      <c r="B1" s="17"/>
      <c r="C1" s="17"/>
    </row>
    <row r="2" spans="1:10" ht="21" x14ac:dyDescent="0.35">
      <c r="A2" s="4" t="str">
        <f ca="1">MID(CELL("Filename",A1),FIND("]",CELL("Filename",A1))+1,255)</f>
        <v>Financial Position</v>
      </c>
      <c r="B2" s="4"/>
      <c r="C2" s="4"/>
    </row>
    <row r="3" spans="1:10" x14ac:dyDescent="0.25"/>
    <row r="4" spans="1:10" x14ac:dyDescent="0.25">
      <c r="A4" s="1" t="str">
        <f>Units</f>
        <v>$'000</v>
      </c>
      <c r="B4" s="1"/>
      <c r="C4" s="1"/>
      <c r="D4" s="41">
        <f>EOMONTH(E4,-12)</f>
        <v>43646</v>
      </c>
      <c r="E4" s="41">
        <f>Last_YE</f>
        <v>44012</v>
      </c>
      <c r="F4" s="19">
        <f>EOMONTH(E4,12)</f>
        <v>44377</v>
      </c>
      <c r="G4" s="19">
        <f t="shared" ref="G4:J4" si="0">EOMONTH(F4,12)</f>
        <v>44742</v>
      </c>
      <c r="H4" s="19">
        <f t="shared" si="0"/>
        <v>45107</v>
      </c>
      <c r="I4" s="19">
        <f t="shared" si="0"/>
        <v>45473</v>
      </c>
      <c r="J4" s="19">
        <f t="shared" si="0"/>
        <v>45838</v>
      </c>
    </row>
    <row r="5" spans="1:10" x14ac:dyDescent="0.25">
      <c r="D5" s="42"/>
      <c r="E5" s="42"/>
    </row>
    <row r="6" spans="1:10" x14ac:dyDescent="0.25">
      <c r="A6" t="s">
        <v>78</v>
      </c>
      <c r="D6" s="49">
        <f>'Data and assumptions'!D99</f>
        <v>45</v>
      </c>
      <c r="E6" s="49">
        <f>'Data and assumptions'!E99</f>
        <v>47</v>
      </c>
      <c r="F6" s="50">
        <f>'Data and assumptions'!F99</f>
        <v>50</v>
      </c>
      <c r="G6" s="50">
        <f>'Data and assumptions'!G99</f>
        <v>50</v>
      </c>
      <c r="H6" s="50">
        <f>'Data and assumptions'!H99</f>
        <v>50</v>
      </c>
      <c r="I6" s="50">
        <f>'Data and assumptions'!I99</f>
        <v>50</v>
      </c>
      <c r="J6" s="50">
        <f>'Data and assumptions'!J99</f>
        <v>50</v>
      </c>
    </row>
    <row r="7" spans="1:10" x14ac:dyDescent="0.25">
      <c r="A7" t="s">
        <v>66</v>
      </c>
      <c r="D7" s="49">
        <f>'Data and assumptions'!D88</f>
        <v>20</v>
      </c>
      <c r="E7" s="49">
        <f>'Data and assumptions'!E88</f>
        <v>22</v>
      </c>
      <c r="F7" s="50">
        <f>'Data and assumptions'!F88</f>
        <v>22.746575342465754</v>
      </c>
      <c r="G7" s="50">
        <f>'Data and assumptions'!G88</f>
        <v>24.832191780821919</v>
      </c>
      <c r="H7" s="50">
        <f>'Data and assumptions'!H88</f>
        <v>26.294383561643837</v>
      </c>
      <c r="I7" s="50">
        <f>'Data and assumptions'!I88</f>
        <v>28.680873287671236</v>
      </c>
      <c r="J7" s="50">
        <f>'Data and assumptions'!J88</f>
        <v>30.295422431506854</v>
      </c>
    </row>
    <row r="8" spans="1:10" x14ac:dyDescent="0.25">
      <c r="A8" t="s">
        <v>67</v>
      </c>
      <c r="D8" s="49">
        <f>'Data and assumptions'!D89</f>
        <v>31</v>
      </c>
      <c r="E8" s="49">
        <f>'Data and assumptions'!E89</f>
        <v>33</v>
      </c>
      <c r="F8" s="50">
        <f>'Data and assumptions'!F89</f>
        <v>36.780102739726033</v>
      </c>
      <c r="G8" s="50">
        <f>'Data and assumptions'!G89</f>
        <v>38.602047945205477</v>
      </c>
      <c r="H8" s="50">
        <f>'Data and assumptions'!H89</f>
        <v>38.924314212328767</v>
      </c>
      <c r="I8" s="50">
        <f>'Data and assumptions'!I89</f>
        <v>41.798244837328774</v>
      </c>
      <c r="J8" s="50">
        <f>'Data and assumptions'!J89</f>
        <v>44.107471236729459</v>
      </c>
    </row>
    <row r="9" spans="1:10" x14ac:dyDescent="0.25">
      <c r="A9" t="s">
        <v>95</v>
      </c>
      <c r="D9" s="49">
        <f>'Data and assumptions'!D124</f>
        <v>5</v>
      </c>
      <c r="E9" s="49">
        <f>'Data and assumptions'!E124</f>
        <v>6</v>
      </c>
      <c r="F9" s="50">
        <f>'Data and assumptions'!F124</f>
        <v>6.777551020408163</v>
      </c>
      <c r="G9" s="50">
        <f>'Data and assumptions'!G124</f>
        <v>7.3989795918367349</v>
      </c>
      <c r="H9" s="50">
        <f>'Data and assumptions'!H124</f>
        <v>7.8346530612244907</v>
      </c>
      <c r="I9" s="50">
        <f>'Data and assumptions'!I124</f>
        <v>8.5457295918367358</v>
      </c>
      <c r="J9" s="50">
        <f>'Data and assumptions'!J124</f>
        <v>9.0267993367346939</v>
      </c>
    </row>
    <row r="10" spans="1:10" x14ac:dyDescent="0.25">
      <c r="A10" s="1" t="s">
        <v>96</v>
      </c>
      <c r="B10" s="1"/>
      <c r="C10" s="1"/>
      <c r="D10" s="51">
        <f t="shared" ref="D10:J10" si="1">SUM(D6:D9)</f>
        <v>101</v>
      </c>
      <c r="E10" s="51">
        <f t="shared" si="1"/>
        <v>108</v>
      </c>
      <c r="F10" s="52">
        <f t="shared" si="1"/>
        <v>116.30422910259995</v>
      </c>
      <c r="G10" s="52">
        <f t="shared" si="1"/>
        <v>120.83321931786412</v>
      </c>
      <c r="H10" s="52">
        <f t="shared" si="1"/>
        <v>123.05335083519709</v>
      </c>
      <c r="I10" s="52">
        <f t="shared" si="1"/>
        <v>129.02484771683675</v>
      </c>
      <c r="J10" s="52">
        <f t="shared" si="1"/>
        <v>133.429693004971</v>
      </c>
    </row>
    <row r="11" spans="1:10" x14ac:dyDescent="0.25">
      <c r="D11" s="49"/>
      <c r="E11" s="49"/>
      <c r="F11" s="50"/>
      <c r="G11" s="50"/>
      <c r="H11" s="50"/>
      <c r="I11" s="50"/>
      <c r="J11" s="50"/>
    </row>
    <row r="12" spans="1:10" x14ac:dyDescent="0.25">
      <c r="A12" t="s">
        <v>97</v>
      </c>
      <c r="D12" s="49">
        <f>'Data and assumptions'!D75</f>
        <v>110</v>
      </c>
      <c r="E12" s="49">
        <f>'Data and assumptions'!E75</f>
        <v>115</v>
      </c>
      <c r="F12" s="50">
        <f>'Data and assumptions'!F75</f>
        <v>107.75</v>
      </c>
      <c r="G12" s="50">
        <f>'Data and assumptions'!G75</f>
        <v>101.58750000000001</v>
      </c>
      <c r="H12" s="50">
        <f>'Data and assumptions'!H75</f>
        <v>97.349375000000009</v>
      </c>
      <c r="I12" s="50">
        <f>'Data and assumptions'!I75</f>
        <v>93.746968750000008</v>
      </c>
      <c r="J12" s="50">
        <f>'Data and assumptions'!J75</f>
        <v>90.684923437500004</v>
      </c>
    </row>
    <row r="13" spans="1:10" x14ac:dyDescent="0.25">
      <c r="A13" t="s">
        <v>98</v>
      </c>
      <c r="D13" s="49">
        <f>'Data and assumptions'!D84</f>
        <v>8</v>
      </c>
      <c r="E13" s="49">
        <f>'Data and assumptions'!E84</f>
        <v>7</v>
      </c>
      <c r="F13" s="50">
        <f>'Data and assumptions'!F84</f>
        <v>15</v>
      </c>
      <c r="G13" s="50">
        <f>'Data and assumptions'!G84</f>
        <v>13</v>
      </c>
      <c r="H13" s="50">
        <f>'Data and assumptions'!H84</f>
        <v>11</v>
      </c>
      <c r="I13" s="50">
        <f>'Data and assumptions'!I84</f>
        <v>9</v>
      </c>
      <c r="J13" s="50">
        <f>'Data and assumptions'!J84</f>
        <v>7</v>
      </c>
    </row>
    <row r="14" spans="1:10" x14ac:dyDescent="0.25">
      <c r="A14" t="s">
        <v>99</v>
      </c>
      <c r="D14" s="49">
        <f>'Data and assumptions'!D125</f>
        <v>2</v>
      </c>
      <c r="E14" s="49">
        <f>'Data and assumptions'!E125</f>
        <v>2</v>
      </c>
      <c r="F14" s="50">
        <f>'Data and assumptions'!F125</f>
        <v>2.259183673469388</v>
      </c>
      <c r="G14" s="50">
        <f>'Data and assumptions'!G125</f>
        <v>2.4663265306122453</v>
      </c>
      <c r="H14" s="50">
        <f>'Data and assumptions'!H125</f>
        <v>2.611551020408164</v>
      </c>
      <c r="I14" s="50">
        <f>'Data and assumptions'!I125</f>
        <v>2.8485765306122457</v>
      </c>
      <c r="J14" s="50">
        <f>'Data and assumptions'!J125</f>
        <v>3.0089331122448986</v>
      </c>
    </row>
    <row r="15" spans="1:10" x14ac:dyDescent="0.25">
      <c r="A15" s="1" t="s">
        <v>118</v>
      </c>
      <c r="B15" s="1"/>
      <c r="C15" s="1"/>
      <c r="D15" s="51">
        <f t="shared" ref="D15:J15" si="2">SUM(D12:D14)</f>
        <v>120</v>
      </c>
      <c r="E15" s="51">
        <f t="shared" si="2"/>
        <v>124</v>
      </c>
      <c r="F15" s="52">
        <f t="shared" si="2"/>
        <v>125.00918367346939</v>
      </c>
      <c r="G15" s="52">
        <f t="shared" si="2"/>
        <v>117.05382653061226</v>
      </c>
      <c r="H15" s="52">
        <f t="shared" si="2"/>
        <v>110.96092602040817</v>
      </c>
      <c r="I15" s="52">
        <f t="shared" si="2"/>
        <v>105.59554528061226</v>
      </c>
      <c r="J15" s="52">
        <f t="shared" si="2"/>
        <v>100.69385654974491</v>
      </c>
    </row>
    <row r="16" spans="1:10" x14ac:dyDescent="0.25">
      <c r="D16" s="49"/>
      <c r="E16" s="49"/>
      <c r="F16" s="50"/>
      <c r="G16" s="50"/>
      <c r="H16" s="50"/>
      <c r="I16" s="50"/>
      <c r="J16" s="50"/>
    </row>
    <row r="17" spans="1:10" x14ac:dyDescent="0.25">
      <c r="A17" t="s">
        <v>68</v>
      </c>
      <c r="D17" s="49">
        <f>'Data and assumptions'!D90</f>
        <v>40</v>
      </c>
      <c r="E17" s="49">
        <f>'Data and assumptions'!E90</f>
        <v>38</v>
      </c>
      <c r="F17" s="50">
        <f>'Data and assumptions'!F90</f>
        <v>42.771869863013698</v>
      </c>
      <c r="G17" s="50">
        <f>'Data and assumptions'!G90</f>
        <v>45.231554794520541</v>
      </c>
      <c r="H17" s="50">
        <f>'Data and assumptions'!H90</f>
        <v>45.963416181506851</v>
      </c>
      <c r="I17" s="50">
        <f>'Data and assumptions'!I90</f>
        <v>49.198997998715747</v>
      </c>
      <c r="J17" s="50">
        <f>'Data and assumptions'!J90</f>
        <v>51.751917545002144</v>
      </c>
    </row>
    <row r="18" spans="1:10" x14ac:dyDescent="0.25">
      <c r="A18" t="s">
        <v>82</v>
      </c>
      <c r="D18" s="49">
        <f>'Data and assumptions'!D103</f>
        <v>10</v>
      </c>
      <c r="E18" s="49">
        <f>'Data and assumptions'!E103</f>
        <v>10</v>
      </c>
      <c r="F18" s="50">
        <f>'Data and assumptions'!F103</f>
        <v>10</v>
      </c>
      <c r="G18" s="50">
        <f>'Data and assumptions'!G103</f>
        <v>10</v>
      </c>
      <c r="H18" s="50">
        <f>'Data and assumptions'!H103</f>
        <v>10</v>
      </c>
      <c r="I18" s="50">
        <f>'Data and assumptions'!I103</f>
        <v>10</v>
      </c>
      <c r="J18" s="50">
        <f>'Data and assumptions'!J103</f>
        <v>10</v>
      </c>
    </row>
    <row r="19" spans="1:10" x14ac:dyDescent="0.25">
      <c r="A19" t="s">
        <v>106</v>
      </c>
      <c r="D19" s="49">
        <f>'Data and assumptions'!D126</f>
        <v>3</v>
      </c>
      <c r="E19" s="49">
        <f>'Data and assumptions'!E126</f>
        <v>4</v>
      </c>
      <c r="F19" s="50">
        <f>'Data and assumptions'!F126</f>
        <v>4.9376687499999958</v>
      </c>
      <c r="G19" s="50">
        <f>'Data and assumptions'!G126</f>
        <v>7.4743347446807773</v>
      </c>
      <c r="H19" s="50">
        <f>'Data and assumptions'!H126</f>
        <v>10.255452702528981</v>
      </c>
      <c r="I19" s="50">
        <f>'Data and assumptions'!I126</f>
        <v>12.672073053487209</v>
      </c>
      <c r="J19" s="50">
        <f>'Data and assumptions'!J126</f>
        <v>14.057677021621258</v>
      </c>
    </row>
    <row r="20" spans="1:10" x14ac:dyDescent="0.25">
      <c r="A20" t="s">
        <v>107</v>
      </c>
      <c r="D20" s="49">
        <f>'Data and assumptions'!D127</f>
        <v>4</v>
      </c>
      <c r="E20" s="49">
        <f>'Data and assumptions'!E127</f>
        <v>5</v>
      </c>
      <c r="F20" s="50">
        <f>'Data and assumptions'!F127</f>
        <v>5.6479591836734695</v>
      </c>
      <c r="G20" s="50">
        <f>'Data and assumptions'!G127</f>
        <v>6.1658163265306127</v>
      </c>
      <c r="H20" s="50">
        <f>'Data and assumptions'!H127</f>
        <v>6.5288775510204093</v>
      </c>
      <c r="I20" s="50">
        <f>'Data and assumptions'!I127</f>
        <v>7.121441326530614</v>
      </c>
      <c r="J20" s="50">
        <f>'Data and assumptions'!J127</f>
        <v>7.5223327806122464</v>
      </c>
    </row>
    <row r="21" spans="1:10" x14ac:dyDescent="0.25">
      <c r="A21" t="s">
        <v>108</v>
      </c>
      <c r="D21" s="49">
        <f>'Data and assumptions'!D128</f>
        <v>1</v>
      </c>
      <c r="E21" s="49">
        <f>'Data and assumptions'!E128</f>
        <v>2</v>
      </c>
      <c r="F21" s="50">
        <f>'Data and assumptions'!F128</f>
        <v>2.259183673469388</v>
      </c>
      <c r="G21" s="50">
        <f>'Data and assumptions'!G128</f>
        <v>2.4663265306122453</v>
      </c>
      <c r="H21" s="50">
        <f>'Data and assumptions'!H128</f>
        <v>2.611551020408164</v>
      </c>
      <c r="I21" s="50">
        <f>'Data and assumptions'!I128</f>
        <v>2.8485765306122457</v>
      </c>
      <c r="J21" s="50">
        <f>'Data and assumptions'!J128</f>
        <v>3.0089331122448986</v>
      </c>
    </row>
    <row r="22" spans="1:10" x14ac:dyDescent="0.25">
      <c r="A22" s="1" t="s">
        <v>114</v>
      </c>
      <c r="B22" s="1"/>
      <c r="C22" s="1"/>
      <c r="D22" s="51">
        <f>SUM(D17:D21)</f>
        <v>58</v>
      </c>
      <c r="E22" s="51">
        <f t="shared" ref="E22:J22" si="3">SUM(E17:E21)</f>
        <v>59</v>
      </c>
      <c r="F22" s="52">
        <f t="shared" si="3"/>
        <v>65.61668147015655</v>
      </c>
      <c r="G22" s="52">
        <f t="shared" si="3"/>
        <v>71.338032396344175</v>
      </c>
      <c r="H22" s="52">
        <f t="shared" si="3"/>
        <v>75.3592974554644</v>
      </c>
      <c r="I22" s="52">
        <f t="shared" si="3"/>
        <v>81.841088909345814</v>
      </c>
      <c r="J22" s="52">
        <f t="shared" si="3"/>
        <v>86.340860459480552</v>
      </c>
    </row>
    <row r="23" spans="1:10" x14ac:dyDescent="0.25">
      <c r="D23" s="49"/>
      <c r="E23" s="49"/>
      <c r="F23" s="50"/>
      <c r="G23" s="50"/>
      <c r="H23" s="50"/>
      <c r="I23" s="50"/>
      <c r="J23" s="50"/>
    </row>
    <row r="24" spans="1:10" x14ac:dyDescent="0.25">
      <c r="A24" t="s">
        <v>83</v>
      </c>
      <c r="D24" s="49">
        <f>'Data and assumptions'!D104</f>
        <v>120</v>
      </c>
      <c r="E24" s="49">
        <f>'Data and assumptions'!E104</f>
        <v>110</v>
      </c>
      <c r="F24" s="50">
        <f>F28-SUM(F25:F27)</f>
        <v>106.69609574468832</v>
      </c>
      <c r="G24" s="50">
        <f t="shared" ref="G24:J24" si="4">G28-SUM(G25:G27)</f>
        <v>90.13172922343054</v>
      </c>
      <c r="H24" s="50">
        <f t="shared" si="4"/>
        <v>73.312338469968708</v>
      </c>
      <c r="I24" s="50">
        <f t="shared" si="4"/>
        <v>55.88989358350382</v>
      </c>
      <c r="J24" s="50">
        <f t="shared" si="4"/>
        <v>39.007223568452027</v>
      </c>
    </row>
    <row r="25" spans="1:10" x14ac:dyDescent="0.25">
      <c r="A25" t="s">
        <v>109</v>
      </c>
      <c r="D25" s="49">
        <f>'Data and assumptions'!D129</f>
        <v>5</v>
      </c>
      <c r="E25" s="49">
        <f>'Data and assumptions'!E129</f>
        <v>6</v>
      </c>
      <c r="F25" s="50">
        <f>'Data and assumptions'!F129</f>
        <v>6.777551020408163</v>
      </c>
      <c r="G25" s="50">
        <f>'Data and assumptions'!G129</f>
        <v>7.3989795918367349</v>
      </c>
      <c r="H25" s="50">
        <f>'Data and assumptions'!H129</f>
        <v>7.8346530612244907</v>
      </c>
      <c r="I25" s="50">
        <f>'Data and assumptions'!I129</f>
        <v>8.5457295918367358</v>
      </c>
      <c r="J25" s="50">
        <f>'Data and assumptions'!J129</f>
        <v>9.0267993367346939</v>
      </c>
    </row>
    <row r="26" spans="1:10" x14ac:dyDescent="0.25">
      <c r="A26" t="s">
        <v>110</v>
      </c>
      <c r="D26" s="49">
        <f>'Data and assumptions'!D130</f>
        <v>10</v>
      </c>
      <c r="E26" s="49">
        <f>'Data and assumptions'!E130</f>
        <v>10</v>
      </c>
      <c r="F26" s="50">
        <f>'Data and assumptions'!F130</f>
        <v>11.295918367346939</v>
      </c>
      <c r="G26" s="50">
        <f>'Data and assumptions'!G130</f>
        <v>12.331632653061225</v>
      </c>
      <c r="H26" s="50">
        <f>'Data and assumptions'!H130</f>
        <v>13.057755102040819</v>
      </c>
      <c r="I26" s="50">
        <f>'Data and assumptions'!I130</f>
        <v>14.242882653061228</v>
      </c>
      <c r="J26" s="50">
        <f>'Data and assumptions'!J130</f>
        <v>15.044665561224493</v>
      </c>
    </row>
    <row r="27" spans="1:10" x14ac:dyDescent="0.25">
      <c r="A27" t="s">
        <v>111</v>
      </c>
      <c r="D27" s="53">
        <f>'Data and assumptions'!D131</f>
        <v>1</v>
      </c>
      <c r="E27" s="53">
        <f>'Data and assumptions'!E131</f>
        <v>2</v>
      </c>
      <c r="F27" s="54">
        <f>'Data and assumptions'!F131</f>
        <v>2.259183673469388</v>
      </c>
      <c r="G27" s="54">
        <f>'Data and assumptions'!G131</f>
        <v>2.4663265306122453</v>
      </c>
      <c r="H27" s="54">
        <f>'Data and assumptions'!H131</f>
        <v>2.611551020408164</v>
      </c>
      <c r="I27" s="54">
        <f>'Data and assumptions'!I131</f>
        <v>2.8485765306122457</v>
      </c>
      <c r="J27" s="54">
        <f>'Data and assumptions'!J131</f>
        <v>3.0089331122448986</v>
      </c>
    </row>
    <row r="28" spans="1:10" x14ac:dyDescent="0.25">
      <c r="A28" s="1" t="s">
        <v>117</v>
      </c>
      <c r="B28" s="1"/>
      <c r="C28" s="1"/>
      <c r="D28" s="51">
        <f>SUM(D24:D27)</f>
        <v>136</v>
      </c>
      <c r="E28" s="51">
        <f>SUM(E24:E27)</f>
        <v>128</v>
      </c>
      <c r="F28" s="52">
        <f>F10+F15-F22-F30</f>
        <v>127.02874880591281</v>
      </c>
      <c r="G28" s="52">
        <f t="shared" ref="G28:J28" si="5">G10+G15-G22-G30</f>
        <v>112.32866799894074</v>
      </c>
      <c r="H28" s="52">
        <f t="shared" si="5"/>
        <v>96.816297653642181</v>
      </c>
      <c r="I28" s="52">
        <f t="shared" si="5"/>
        <v>81.527082359014031</v>
      </c>
      <c r="J28" s="52">
        <f t="shared" si="5"/>
        <v>66.087621578656112</v>
      </c>
    </row>
    <row r="29" spans="1:10" x14ac:dyDescent="0.25">
      <c r="D29" s="49"/>
      <c r="E29" s="49"/>
      <c r="F29" s="50"/>
      <c r="G29" s="50"/>
      <c r="H29" s="50"/>
      <c r="I29" s="50"/>
      <c r="J29" s="50"/>
    </row>
    <row r="30" spans="1:10" ht="15.75" thickBot="1" x14ac:dyDescent="0.3">
      <c r="A30" s="1" t="s">
        <v>116</v>
      </c>
      <c r="B30" s="1"/>
      <c r="C30" s="1"/>
      <c r="D30" s="55">
        <f>D10+D15-D22-D28</f>
        <v>27</v>
      </c>
      <c r="E30" s="55">
        <f>E10+E15-E22-E28</f>
        <v>45</v>
      </c>
      <c r="F30" s="56">
        <f>F36</f>
        <v>48.667982499999994</v>
      </c>
      <c r="G30" s="56">
        <f t="shared" ref="G30:J30" si="6">G36</f>
        <v>54.220345453191435</v>
      </c>
      <c r="H30" s="56">
        <f t="shared" si="6"/>
        <v>61.838681746498679</v>
      </c>
      <c r="I30" s="56">
        <f t="shared" si="6"/>
        <v>71.252221729089172</v>
      </c>
      <c r="J30" s="56">
        <f t="shared" si="6"/>
        <v>81.695067516579243</v>
      </c>
    </row>
    <row r="31" spans="1:10" x14ac:dyDescent="0.25">
      <c r="D31" s="49"/>
      <c r="E31" s="49"/>
      <c r="F31" s="50"/>
      <c r="G31" s="50"/>
      <c r="H31" s="50"/>
      <c r="I31" s="50"/>
      <c r="J31" s="50"/>
    </row>
    <row r="32" spans="1:10" x14ac:dyDescent="0.25">
      <c r="A32" s="6" t="s">
        <v>195</v>
      </c>
      <c r="B32" s="6"/>
      <c r="C32" s="6"/>
      <c r="D32" s="57">
        <f>D36-D33-D34-D35</f>
        <v>23</v>
      </c>
      <c r="E32" s="57">
        <f>D36</f>
        <v>27</v>
      </c>
      <c r="F32" s="58">
        <f>E36</f>
        <v>45</v>
      </c>
      <c r="G32" s="58">
        <f t="shared" ref="G32:J32" si="7">F36</f>
        <v>48.667982499999994</v>
      </c>
      <c r="H32" s="58">
        <f t="shared" si="7"/>
        <v>54.220345453191435</v>
      </c>
      <c r="I32" s="58">
        <f t="shared" si="7"/>
        <v>61.838681746498679</v>
      </c>
      <c r="J32" s="58">
        <f t="shared" si="7"/>
        <v>71.252221729089172</v>
      </c>
    </row>
    <row r="33" spans="1:10" x14ac:dyDescent="0.25">
      <c r="A33" s="6" t="s">
        <v>119</v>
      </c>
      <c r="B33" s="6"/>
      <c r="C33" s="6"/>
      <c r="D33" s="57">
        <f>'Data and assumptions'!D120</f>
        <v>0</v>
      </c>
      <c r="E33" s="57">
        <f>'Data and assumptions'!E120</f>
        <v>12</v>
      </c>
      <c r="F33" s="58">
        <f>'Data and assumptions'!F120</f>
        <v>0</v>
      </c>
      <c r="G33" s="58">
        <f>'Data and assumptions'!G120</f>
        <v>0</v>
      </c>
      <c r="H33" s="58">
        <f>'Data and assumptions'!H120</f>
        <v>0</v>
      </c>
      <c r="I33" s="58">
        <f>'Data and assumptions'!I120</f>
        <v>0</v>
      </c>
      <c r="J33" s="58">
        <f>'Data and assumptions'!J120</f>
        <v>0</v>
      </c>
    </row>
    <row r="34" spans="1:10" x14ac:dyDescent="0.25">
      <c r="A34" s="6" t="s">
        <v>94</v>
      </c>
      <c r="B34" s="6"/>
      <c r="C34" s="6"/>
      <c r="D34" s="57">
        <f>'Income Statement'!D46</f>
        <v>19</v>
      </c>
      <c r="E34" s="57">
        <f>'Income Statement'!E46</f>
        <v>18</v>
      </c>
      <c r="F34" s="58">
        <f>'Income Statement'!F46</f>
        <v>18.33991249999999</v>
      </c>
      <c r="G34" s="58">
        <f>'Income Statement'!G46</f>
        <v>27.761814765957176</v>
      </c>
      <c r="H34" s="58">
        <f>'Income Statement'!H46</f>
        <v>38.091681466536222</v>
      </c>
      <c r="I34" s="58">
        <f>'Income Statement'!I46</f>
        <v>47.067699912952492</v>
      </c>
      <c r="J34" s="58">
        <f>'Income Statement'!J46</f>
        <v>52.214228937450386</v>
      </c>
    </row>
    <row r="35" spans="1:10" x14ac:dyDescent="0.25">
      <c r="A35" s="6" t="s">
        <v>104</v>
      </c>
      <c r="B35" s="6"/>
      <c r="C35" s="6"/>
      <c r="D35" s="57">
        <f>-'Data and assumptions'!D117</f>
        <v>-15</v>
      </c>
      <c r="E35" s="57">
        <f>-'Data and assumptions'!E117</f>
        <v>-12</v>
      </c>
      <c r="F35" s="58">
        <f>-'Data and assumptions'!F117</f>
        <v>-14.671929999999993</v>
      </c>
      <c r="G35" s="58">
        <f>-'Data and assumptions'!G117</f>
        <v>-22.209451812765742</v>
      </c>
      <c r="H35" s="58">
        <f>-'Data and assumptions'!H117</f>
        <v>-30.473345173228978</v>
      </c>
      <c r="I35" s="58">
        <f>-'Data and assumptions'!I117</f>
        <v>-37.654159930361992</v>
      </c>
      <c r="J35" s="58">
        <f>-'Data and assumptions'!J117</f>
        <v>-41.771383149960315</v>
      </c>
    </row>
    <row r="36" spans="1:10" x14ac:dyDescent="0.25">
      <c r="A36" s="6" t="s">
        <v>196</v>
      </c>
      <c r="B36" s="6"/>
      <c r="C36" s="6"/>
      <c r="D36" s="59">
        <f>D30</f>
        <v>27</v>
      </c>
      <c r="E36" s="59">
        <f>SUM(E32:E35)</f>
        <v>45</v>
      </c>
      <c r="F36" s="60">
        <f t="shared" ref="F36:J36" si="8">SUM(F32:F35)</f>
        <v>48.667982499999994</v>
      </c>
      <c r="G36" s="60">
        <f t="shared" si="8"/>
        <v>54.220345453191435</v>
      </c>
      <c r="H36" s="60">
        <f t="shared" si="8"/>
        <v>61.838681746498679</v>
      </c>
      <c r="I36" s="60">
        <f t="shared" si="8"/>
        <v>71.252221729089172</v>
      </c>
      <c r="J36" s="60">
        <f t="shared" si="8"/>
        <v>81.695067516579243</v>
      </c>
    </row>
    <row r="37" spans="1:10" x14ac:dyDescent="0.25">
      <c r="A37" s="6"/>
      <c r="B37" s="6"/>
      <c r="C37" s="6"/>
      <c r="D37" s="6"/>
      <c r="E37" s="6"/>
      <c r="F37" s="72"/>
      <c r="G37" s="72"/>
      <c r="H37" s="72"/>
      <c r="I37" s="72"/>
      <c r="J37" s="72"/>
    </row>
    <row r="38" spans="1:10" x14ac:dyDescent="0.25">
      <c r="A38" s="6" t="s">
        <v>124</v>
      </c>
      <c r="B38" s="6"/>
      <c r="C38" s="6"/>
      <c r="D38" s="73" t="str">
        <f>IF(D36-D30=0,"OK","Error")</f>
        <v>OK</v>
      </c>
      <c r="E38" s="73" t="str">
        <f t="shared" ref="E38:J38" si="9">IF(E36-E30=0,"OK","Error")</f>
        <v>OK</v>
      </c>
      <c r="F38" s="73" t="str">
        <f t="shared" si="9"/>
        <v>OK</v>
      </c>
      <c r="G38" s="73" t="str">
        <f t="shared" si="9"/>
        <v>OK</v>
      </c>
      <c r="H38" s="73" t="str">
        <f t="shared" si="9"/>
        <v>OK</v>
      </c>
      <c r="I38" s="73" t="str">
        <f t="shared" si="9"/>
        <v>OK</v>
      </c>
      <c r="J38" s="73" t="str">
        <f t="shared" si="9"/>
        <v>OK</v>
      </c>
    </row>
    <row r="39" spans="1:10" x14ac:dyDescent="0.25">
      <c r="F39" s="50"/>
      <c r="G39" s="50"/>
      <c r="H39" s="50"/>
      <c r="I39" s="50"/>
      <c r="J39" s="50"/>
    </row>
    <row r="40" spans="1:10" hidden="1" x14ac:dyDescent="0.25">
      <c r="A40" s="6"/>
      <c r="B40" s="6"/>
      <c r="C40" s="6"/>
      <c r="D40" s="23"/>
      <c r="E40" s="23"/>
      <c r="F40" s="23"/>
      <c r="G40" s="23"/>
      <c r="H40" s="23"/>
      <c r="I40" s="23"/>
      <c r="J40" s="23"/>
    </row>
    <row r="46" spans="1:10" hidden="1" x14ac:dyDescent="0.25"/>
    <row r="47" spans="1:10" hidden="1" x14ac:dyDescent="0.25"/>
  </sheetData>
  <pageMargins left="0.51181102362204722" right="0.51181102362204722" top="0.74803149606299213" bottom="0.74803149606299213" header="0.31496062992125984" footer="0.31496062992125984"/>
  <pageSetup paperSize="9" fitToHeight="0" orientation="portrait" r:id="rId1"/>
  <headerFooter>
    <oddFooter>&amp;C&amp;9Page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5240D-AF15-4A07-A59B-B133CFF16B09}">
  <sheetPr codeName="Sheet6">
    <tabColor rgb="FF8B634B"/>
  </sheetPr>
  <dimension ref="A1:T96"/>
  <sheetViews>
    <sheetView showGridLines="0" workbookViewId="0">
      <selection activeCell="A3" sqref="A3"/>
    </sheetView>
  </sheetViews>
  <sheetFormatPr defaultColWidth="0" defaultRowHeight="15" zeroHeight="1" outlineLevelCol="1" x14ac:dyDescent="0.25"/>
  <cols>
    <col min="1" max="1" width="32.85546875" customWidth="1"/>
    <col min="2" max="4" width="3.7109375" hidden="1" customWidth="1" outlineLevel="1"/>
    <col min="5" max="5" width="8.42578125" customWidth="1" collapsed="1"/>
    <col min="6" max="10" width="8.42578125" customWidth="1"/>
    <col min="11" max="20" width="0" hidden="1" customWidth="1"/>
    <col min="21" max="16384" width="9.140625" hidden="1"/>
  </cols>
  <sheetData>
    <row r="1" spans="1:10" x14ac:dyDescent="0.25">
      <c r="A1" s="17" t="str">
        <f>Scope&amp;Subject</f>
        <v>Limited Scope Impairment Analysis of Subject Pty Limited</v>
      </c>
      <c r="B1" s="17"/>
      <c r="C1" s="17"/>
      <c r="D1" s="17"/>
    </row>
    <row r="2" spans="1:10" ht="21" x14ac:dyDescent="0.35">
      <c r="A2" s="4" t="str">
        <f ca="1">MID(CELL("Filename",A1),FIND("]",CELL("Filename",A1))+1,255)</f>
        <v>Cashflow</v>
      </c>
      <c r="B2" s="4"/>
      <c r="C2" s="4"/>
      <c r="D2" s="4"/>
    </row>
    <row r="3" spans="1:10" x14ac:dyDescent="0.25"/>
    <row r="4" spans="1:10" x14ac:dyDescent="0.25">
      <c r="A4" s="1" t="str">
        <f>Units</f>
        <v>$'000</v>
      </c>
      <c r="B4" s="1"/>
      <c r="C4" s="1"/>
      <c r="D4" s="1"/>
      <c r="E4" s="41">
        <f>Last_YE</f>
        <v>44012</v>
      </c>
      <c r="F4" s="19">
        <f>EOMONTH(E4,12)</f>
        <v>44377</v>
      </c>
      <c r="G4" s="19">
        <f t="shared" ref="G4:J4" si="0">EOMONTH(F4,12)</f>
        <v>44742</v>
      </c>
      <c r="H4" s="19">
        <f t="shared" si="0"/>
        <v>45107</v>
      </c>
      <c r="I4" s="19">
        <f t="shared" si="0"/>
        <v>45473</v>
      </c>
      <c r="J4" s="19">
        <f t="shared" si="0"/>
        <v>45838</v>
      </c>
    </row>
    <row r="5" spans="1:10" x14ac:dyDescent="0.25">
      <c r="E5" s="42"/>
    </row>
    <row r="6" spans="1:10" x14ac:dyDescent="0.25">
      <c r="A6" t="s">
        <v>48</v>
      </c>
      <c r="E6" s="49">
        <f>'Income Statement'!E34</f>
        <v>45</v>
      </c>
      <c r="F6" s="50">
        <f>'Income Statement'!F34</f>
        <v>53.725249999999981</v>
      </c>
      <c r="G6" s="50">
        <f>'Income Statement'!G34</f>
        <v>66.274750000000026</v>
      </c>
      <c r="H6" s="50">
        <f>'Income Statement'!H34</f>
        <v>80.248615625000014</v>
      </c>
      <c r="I6" s="50">
        <f>'Income Statement'!I34</f>
        <v>92.412992578125042</v>
      </c>
      <c r="J6" s="50">
        <f>'Income Statement'!J34</f>
        <v>98.745021908203142</v>
      </c>
    </row>
    <row r="7" spans="1:10" x14ac:dyDescent="0.25">
      <c r="A7" t="s">
        <v>127</v>
      </c>
      <c r="E7" s="49">
        <f>'Financial Position'!D7+'Financial Position'!D8-'Financial Position'!D17-'Financial Position'!E7-'Financial Position'!E8+'Financial Position'!E17</f>
        <v>-6</v>
      </c>
      <c r="F7" s="50">
        <f>'Financial Position'!E7+'Financial Position'!E8-'Financial Position'!E17-'Financial Position'!F7-'Financial Position'!F8+'Financial Position'!F17</f>
        <v>0.24519178082191218</v>
      </c>
      <c r="G7" s="50">
        <f>'Financial Position'!F7+'Financial Position'!F8-'Financial Position'!F17-'Financial Position'!G7-'Financial Position'!G8+'Financial Position'!G17</f>
        <v>-1.447876712328771</v>
      </c>
      <c r="H7" s="50">
        <f>'Financial Position'!G7+'Financial Position'!G8-'Financial Position'!G17-'Financial Position'!H7-'Financial Position'!H8+'Financial Position'!H17</f>
        <v>-1.0525966609588906</v>
      </c>
      <c r="I7" s="50">
        <f>'Financial Position'!H7+'Financial Position'!H8-'Financial Position'!H17-'Financial Position'!I7-'Financial Position'!I8+'Financial Position'!I17</f>
        <v>-2.0248385338185031</v>
      </c>
      <c r="J7" s="50">
        <f>'Financial Position'!I7+'Financial Position'!I8-'Financial Position'!I17-'Financial Position'!J7-'Financial Position'!J8+'Financial Position'!J17</f>
        <v>-1.3708559969498992</v>
      </c>
    </row>
    <row r="8" spans="1:10" x14ac:dyDescent="0.25">
      <c r="A8" t="s">
        <v>128</v>
      </c>
      <c r="E8" s="49">
        <f>'Financial Position'!D9+'Financial Position'!D14-'Financial Position'!D20-'Financial Position'!D21-'Financial Position'!D26-'Financial Position'!D27-'Financial Position'!E9-'Financial Position'!E14+'Financial Position'!E20+'Financial Position'!E21+'Financial Position'!E26+'Financial Position'!E27</f>
        <v>2</v>
      </c>
      <c r="F8" s="50">
        <f>'Financial Position'!E9+'Financial Position'!E14-'Financial Position'!E20-'Financial Position'!E21-'Financial Position'!E26-'Financial Position'!E27-'Financial Position'!F9-'Financial Position'!F14+'Financial Position'!F20+'Financial Position'!F21+'Financial Position'!F26+'Financial Position'!F27</f>
        <v>1.425510204081637</v>
      </c>
      <c r="G8" s="50">
        <f>'Financial Position'!F9+'Financial Position'!F14-'Financial Position'!F20-'Financial Position'!F21-'Financial Position'!F26-'Financial Position'!F27-'Financial Position'!G9-'Financial Position'!G14+'Financial Position'!G20+'Financial Position'!G21+'Financial Position'!G26+'Financial Position'!G27</f>
        <v>1.1392857142857169</v>
      </c>
      <c r="H8" s="50">
        <f>'Financial Position'!G9+'Financial Position'!G14-'Financial Position'!G20-'Financial Position'!G21-'Financial Position'!G26-'Financial Position'!G27-'Financial Position'!H9-'Financial Position'!H14+'Financial Position'!H20+'Financial Position'!H21+'Financial Position'!H26+'Financial Position'!H27</f>
        <v>0.79873469387755192</v>
      </c>
      <c r="I8" s="50">
        <f>'Financial Position'!H9+'Financial Position'!H14-'Financial Position'!H20-'Financial Position'!H21-'Financial Position'!H26-'Financial Position'!H27-'Financial Position'!I9-'Financial Position'!I14+'Financial Position'!I20+'Financial Position'!I21+'Financial Position'!I26+'Financial Position'!I27</f>
        <v>1.3036403061224484</v>
      </c>
      <c r="J8" s="50">
        <f>'Financial Position'!I9+'Financial Position'!I14-'Financial Position'!I20-'Financial Position'!I21-'Financial Position'!I26-'Financial Position'!I27-'Financial Position'!J9-'Financial Position'!J14+'Financial Position'!J20+'Financial Position'!J21+'Financial Position'!J26+'Financial Position'!J27</f>
        <v>0.88196119897959235</v>
      </c>
    </row>
    <row r="9" spans="1:10" x14ac:dyDescent="0.25">
      <c r="A9" t="s">
        <v>129</v>
      </c>
      <c r="E9" s="49">
        <f>-'Income Statement'!E45+'Financial Position'!E19+'Financial Position'!E25-'Financial Position'!D19-'Financial Position'!D25</f>
        <v>-6</v>
      </c>
      <c r="F9" s="50">
        <f>-'Income Statement'!F45+'Financial Position'!F19+'Financial Position'!F25-'Financial Position'!E19-'Financial Position'!E25</f>
        <v>-8.1601177295918319</v>
      </c>
      <c r="G9" s="50">
        <f>-'Income Statement'!G45+'Financial Position'!G19+'Financial Position'!G25-'Financial Position'!F19-'Financial Position'!F25</f>
        <v>-11.790574923252201</v>
      </c>
      <c r="H9" s="50">
        <f>-'Income Statement'!H45+'Financial Position'!H19+'Financial Position'!H25-'Financial Position'!G19-'Financial Position'!G25</f>
        <v>-17.294113977822001</v>
      </c>
      <c r="I9" s="50">
        <f>-'Income Statement'!I45+'Financial Position'!I19+'Financial Position'!I25-'Financial Position'!H19-'Financial Position'!H25</f>
        <v>-22.216449225403945</v>
      </c>
      <c r="J9" s="50">
        <f>-'Income Statement'!J45+'Financial Position'!J19+'Financial Position'!J25-'Financial Position'!I19-'Financial Position'!I25</f>
        <v>-26.248680330210508</v>
      </c>
    </row>
    <row r="10" spans="1:10" x14ac:dyDescent="0.25">
      <c r="E10" s="49"/>
      <c r="F10" s="50"/>
      <c r="G10" s="50"/>
      <c r="H10" s="50"/>
      <c r="I10" s="50"/>
      <c r="J10" s="50"/>
    </row>
    <row r="11" spans="1:10" x14ac:dyDescent="0.25">
      <c r="A11" t="s">
        <v>125</v>
      </c>
      <c r="E11" s="49">
        <f>-'Data and assumptions'!E73</f>
        <v>-14</v>
      </c>
      <c r="F11" s="50">
        <f>-'Data and assumptions'!F73</f>
        <v>-10</v>
      </c>
      <c r="G11" s="50">
        <f>-'Data and assumptions'!G73</f>
        <v>-10</v>
      </c>
      <c r="H11" s="50">
        <f>-'Data and assumptions'!H73</f>
        <v>-11</v>
      </c>
      <c r="I11" s="50">
        <f>-'Data and assumptions'!I73</f>
        <v>-11</v>
      </c>
      <c r="J11" s="50">
        <f>-'Data and assumptions'!J73</f>
        <v>-11</v>
      </c>
    </row>
    <row r="12" spans="1:10" x14ac:dyDescent="0.25">
      <c r="A12" t="s">
        <v>126</v>
      </c>
      <c r="E12" s="49">
        <f>-'Data and assumptions'!E82</f>
        <v>-1</v>
      </c>
      <c r="F12" s="50">
        <f>-'Data and assumptions'!F82</f>
        <v>-10</v>
      </c>
      <c r="G12" s="50">
        <f>-'Data and assumptions'!G82</f>
        <v>0</v>
      </c>
      <c r="H12" s="50">
        <f>-'Data and assumptions'!H82</f>
        <v>0</v>
      </c>
      <c r="I12" s="50">
        <f>-'Data and assumptions'!I82</f>
        <v>0</v>
      </c>
      <c r="J12" s="50">
        <f>-'Data and assumptions'!J82</f>
        <v>0</v>
      </c>
    </row>
    <row r="13" spans="1:10" x14ac:dyDescent="0.25">
      <c r="E13" s="49"/>
      <c r="F13" s="50"/>
      <c r="G13" s="50"/>
      <c r="H13" s="50"/>
      <c r="I13" s="50"/>
      <c r="J13" s="50"/>
    </row>
    <row r="14" spans="1:10" x14ac:dyDescent="0.25">
      <c r="A14" t="s">
        <v>134</v>
      </c>
      <c r="E14" s="49">
        <f>'Financial Position'!E18+'Financial Position'!E24-'Financial Position'!D18-'Financial Position'!D24</f>
        <v>-10</v>
      </c>
      <c r="F14" s="50">
        <f>'Financial Position'!F18+'Financial Position'!F24-'Financial Position'!E18-'Financial Position'!E24</f>
        <v>-3.3039042553116786</v>
      </c>
      <c r="G14" s="50">
        <f>'Financial Position'!G18+'Financial Position'!G24-'Financial Position'!F18-'Financial Position'!F24</f>
        <v>-16.564366521257782</v>
      </c>
      <c r="H14" s="50">
        <f>'Financial Position'!H18+'Financial Position'!H24-'Financial Position'!G18-'Financial Position'!G24</f>
        <v>-16.819390753461832</v>
      </c>
      <c r="I14" s="50">
        <f>'Financial Position'!I18+'Financial Position'!I24-'Financial Position'!H18-'Financial Position'!H24</f>
        <v>-17.422444886464888</v>
      </c>
      <c r="J14" s="50">
        <f>'Financial Position'!J18+'Financial Position'!J24-'Financial Position'!I18-'Financial Position'!I24</f>
        <v>-16.882670015051794</v>
      </c>
    </row>
    <row r="15" spans="1:10" x14ac:dyDescent="0.25">
      <c r="A15" t="s">
        <v>79</v>
      </c>
      <c r="E15" s="49">
        <f>'Income Statement'!E42</f>
        <v>1</v>
      </c>
      <c r="F15" s="50">
        <f>'Income Statement'!F42</f>
        <v>0.94000000000000006</v>
      </c>
      <c r="G15" s="50">
        <f>'Income Statement'!G42</f>
        <v>1</v>
      </c>
      <c r="H15" s="50">
        <f>'Income Statement'!H42</f>
        <v>1</v>
      </c>
      <c r="I15" s="50">
        <f>'Income Statement'!I42</f>
        <v>1</v>
      </c>
      <c r="J15" s="50">
        <f>'Income Statement'!J42</f>
        <v>1</v>
      </c>
    </row>
    <row r="16" spans="1:10" x14ac:dyDescent="0.25">
      <c r="A16" t="s">
        <v>86</v>
      </c>
      <c r="E16" s="49">
        <f>-'Income Statement'!E43</f>
        <v>-9</v>
      </c>
      <c r="F16" s="50">
        <f>-'Income Statement'!F43</f>
        <v>-7.1999999999999993</v>
      </c>
      <c r="G16" s="50">
        <f>-'Income Statement'!G43</f>
        <v>-6.401765744681299</v>
      </c>
      <c r="H16" s="50">
        <f>-'Income Statement'!H43</f>
        <v>-5.4079037534058321</v>
      </c>
      <c r="I16" s="50">
        <f>-'Income Statement'!I43</f>
        <v>-4.3987403081981222</v>
      </c>
      <c r="J16" s="50">
        <f>-'Income Statement'!J43</f>
        <v>-3.353393615010229</v>
      </c>
    </row>
    <row r="17" spans="1:10" x14ac:dyDescent="0.25">
      <c r="E17" s="71"/>
      <c r="F17" s="50"/>
      <c r="G17" s="50"/>
      <c r="H17" s="50"/>
      <c r="I17" s="50"/>
      <c r="J17" s="50"/>
    </row>
    <row r="18" spans="1:10" x14ac:dyDescent="0.25">
      <c r="A18" t="s">
        <v>119</v>
      </c>
      <c r="E18" s="49">
        <f>'Financial Position'!E33</f>
        <v>12</v>
      </c>
      <c r="F18" s="50">
        <f>'Financial Position'!F33</f>
        <v>0</v>
      </c>
      <c r="G18" s="50">
        <f>'Financial Position'!G33</f>
        <v>0</v>
      </c>
      <c r="H18" s="50">
        <f>'Financial Position'!H33</f>
        <v>0</v>
      </c>
      <c r="I18" s="50">
        <f>'Financial Position'!I33</f>
        <v>0</v>
      </c>
      <c r="J18" s="50">
        <f>'Financial Position'!J33</f>
        <v>0</v>
      </c>
    </row>
    <row r="19" spans="1:10" x14ac:dyDescent="0.25">
      <c r="A19" t="s">
        <v>130</v>
      </c>
      <c r="E19" s="49">
        <f>'Financial Position'!E35</f>
        <v>-12</v>
      </c>
      <c r="F19" s="50">
        <f>'Financial Position'!F35</f>
        <v>-14.671929999999993</v>
      </c>
      <c r="G19" s="50">
        <f>'Financial Position'!G35</f>
        <v>-22.209451812765742</v>
      </c>
      <c r="H19" s="50">
        <f>'Financial Position'!H35</f>
        <v>-30.473345173228978</v>
      </c>
      <c r="I19" s="50">
        <f>'Financial Position'!I35</f>
        <v>-37.654159930361992</v>
      </c>
      <c r="J19" s="50">
        <f>'Financial Position'!J35</f>
        <v>-41.771383149960315</v>
      </c>
    </row>
    <row r="20" spans="1:10" x14ac:dyDescent="0.25">
      <c r="A20" s="1" t="s">
        <v>131</v>
      </c>
      <c r="B20" s="1"/>
      <c r="C20" s="1"/>
      <c r="D20" s="1"/>
      <c r="E20" s="69">
        <f t="shared" ref="E20:J20" si="1">SUM(E6:E19)</f>
        <v>2</v>
      </c>
      <c r="F20" s="70">
        <f t="shared" si="1"/>
        <v>3.000000000000032</v>
      </c>
      <c r="G20" s="70">
        <f t="shared" si="1"/>
        <v>-5.6843418860808015E-14</v>
      </c>
      <c r="H20" s="70">
        <f t="shared" si="1"/>
        <v>0</v>
      </c>
      <c r="I20" s="70">
        <f t="shared" si="1"/>
        <v>0</v>
      </c>
      <c r="J20" s="70">
        <f t="shared" si="1"/>
        <v>0</v>
      </c>
    </row>
    <row r="21" spans="1:10" x14ac:dyDescent="0.25">
      <c r="A21" t="s">
        <v>132</v>
      </c>
      <c r="E21" s="53">
        <f>'Financial Position'!D6</f>
        <v>45</v>
      </c>
      <c r="F21" s="54">
        <f>'Financial Position'!E6</f>
        <v>47</v>
      </c>
      <c r="G21" s="54">
        <f>'Financial Position'!F6</f>
        <v>50</v>
      </c>
      <c r="H21" s="54">
        <f>'Financial Position'!G6</f>
        <v>50</v>
      </c>
      <c r="I21" s="54">
        <f>'Financial Position'!H6</f>
        <v>50</v>
      </c>
      <c r="J21" s="54">
        <f>'Financial Position'!I6</f>
        <v>50</v>
      </c>
    </row>
    <row r="22" spans="1:10" ht="15.75" thickBot="1" x14ac:dyDescent="0.3">
      <c r="A22" s="1" t="s">
        <v>133</v>
      </c>
      <c r="B22" s="1"/>
      <c r="C22" s="1"/>
      <c r="D22" s="1"/>
      <c r="E22" s="55">
        <f>'Financial Position'!E6</f>
        <v>47</v>
      </c>
      <c r="F22" s="56">
        <f>'Financial Position'!F6</f>
        <v>50</v>
      </c>
      <c r="G22" s="56">
        <f>'Financial Position'!G6</f>
        <v>50</v>
      </c>
      <c r="H22" s="56">
        <f>'Financial Position'!H6</f>
        <v>50</v>
      </c>
      <c r="I22" s="56">
        <f>'Financial Position'!I6</f>
        <v>50</v>
      </c>
      <c r="J22" s="56">
        <f>'Financial Position'!J6</f>
        <v>50</v>
      </c>
    </row>
    <row r="23" spans="1:10" x14ac:dyDescent="0.25"/>
    <row r="24" spans="1:10" x14ac:dyDescent="0.25">
      <c r="A24" s="6" t="s">
        <v>124</v>
      </c>
      <c r="B24" s="6"/>
      <c r="C24" s="6"/>
      <c r="D24" s="6"/>
      <c r="E24" s="73" t="str">
        <f>IF(E20+E21-E22&lt;0.01,"OK","Error")</f>
        <v>OK</v>
      </c>
      <c r="F24" s="73" t="str">
        <f t="shared" ref="F24:J24" si="2">IF(F20+F21-F22&lt;0.01,"OK","Error")</f>
        <v>OK</v>
      </c>
      <c r="G24" s="73" t="str">
        <f t="shared" si="2"/>
        <v>OK</v>
      </c>
      <c r="H24" s="73" t="str">
        <f t="shared" si="2"/>
        <v>OK</v>
      </c>
      <c r="I24" s="73" t="str">
        <f t="shared" si="2"/>
        <v>OK</v>
      </c>
      <c r="J24" s="73" t="str">
        <f t="shared" si="2"/>
        <v>OK</v>
      </c>
    </row>
    <row r="25" spans="1:10" x14ac:dyDescent="0.25"/>
    <row r="26" spans="1:10" hidden="1" x14ac:dyDescent="0.25"/>
    <row r="27" spans="1:10" hidden="1" x14ac:dyDescent="0.25"/>
    <row r="28" spans="1:10" hidden="1" x14ac:dyDescent="0.25"/>
    <row r="29" spans="1:10" hidden="1" x14ac:dyDescent="0.25"/>
    <row r="30" spans="1:10" hidden="1" x14ac:dyDescent="0.25"/>
    <row r="31" spans="1:10" hidden="1" x14ac:dyDescent="0.25"/>
    <row r="32" spans="1:10"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sheetData>
  <pageMargins left="0.51181102362204722" right="0.51181102362204722" top="0.74803149606299213" bottom="0.74803149606299213" header="0.31496062992125984" footer="0.31496062992125984"/>
  <pageSetup paperSize="9" fitToHeight="0" orientation="portrait" r:id="rId1"/>
  <headerFooter>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5A886-441E-415B-B9C6-BF77392831B0}">
  <sheetPr codeName="Sheet7">
    <tabColor rgb="FF8B634B"/>
  </sheetPr>
  <dimension ref="A1:Q89"/>
  <sheetViews>
    <sheetView showGridLines="0" workbookViewId="0">
      <selection activeCell="A3" sqref="A3"/>
    </sheetView>
  </sheetViews>
  <sheetFormatPr defaultColWidth="0" defaultRowHeight="0" customHeight="1" zeroHeight="1" x14ac:dyDescent="0.25"/>
  <cols>
    <col min="1" max="1" width="43.28515625" bestFit="1" customWidth="1"/>
    <col min="2" max="4" width="8.42578125" customWidth="1"/>
    <col min="5" max="6" width="8.42578125" hidden="1" customWidth="1"/>
    <col min="7" max="17" width="0" hidden="1" customWidth="1"/>
    <col min="18" max="16384" width="9.140625" hidden="1"/>
  </cols>
  <sheetData>
    <row r="1" spans="1:6" ht="15" x14ac:dyDescent="0.25">
      <c r="A1" s="17" t="str">
        <f>Scope&amp;Subject</f>
        <v>Limited Scope Impairment Analysis of Subject Pty Limited</v>
      </c>
    </row>
    <row r="2" spans="1:6" ht="21" x14ac:dyDescent="0.35">
      <c r="A2" s="4" t="str">
        <f ca="1">MID(CELL("Filename",A1),FIND("]",CELL("Filename",A1))+1,255)</f>
        <v>Discount Rate</v>
      </c>
    </row>
    <row r="3" spans="1:6" ht="15" x14ac:dyDescent="0.25">
      <c r="A3" s="1"/>
      <c r="B3" s="19"/>
      <c r="C3" s="19"/>
      <c r="D3" s="19"/>
      <c r="E3" s="19"/>
      <c r="F3" s="19"/>
    </row>
    <row r="4" spans="1:6" ht="15" x14ac:dyDescent="0.25">
      <c r="B4" s="80" t="s">
        <v>136</v>
      </c>
      <c r="C4" s="80" t="s">
        <v>137</v>
      </c>
    </row>
    <row r="5" spans="1:6" ht="15" x14ac:dyDescent="0.25">
      <c r="A5" t="s">
        <v>138</v>
      </c>
      <c r="B5" s="81">
        <f>'Data and assumptions'!D136</f>
        <v>2.1499999999999998E-2</v>
      </c>
      <c r="C5" s="81">
        <f>'Data and assumptions'!E136</f>
        <v>2.1499999999999998E-2</v>
      </c>
      <c r="D5" s="50"/>
      <c r="E5" s="50"/>
      <c r="F5" s="50"/>
    </row>
    <row r="6" spans="1:6" ht="15" x14ac:dyDescent="0.25">
      <c r="A6" t="s">
        <v>139</v>
      </c>
      <c r="B6" s="81">
        <f>'Data and assumptions'!D137</f>
        <v>7.0000000000000007E-2</v>
      </c>
      <c r="C6" s="81">
        <f>'Data and assumptions'!E137</f>
        <v>7.0000000000000007E-2</v>
      </c>
      <c r="D6" s="50"/>
      <c r="E6" s="50"/>
      <c r="F6" s="50"/>
    </row>
    <row r="7" spans="1:6" ht="15" x14ac:dyDescent="0.25">
      <c r="A7" t="s">
        <v>140</v>
      </c>
      <c r="B7">
        <f>'Data and assumptions'!D138</f>
        <v>0.8</v>
      </c>
      <c r="C7">
        <f>'Data and assumptions'!E138</f>
        <v>1</v>
      </c>
      <c r="D7" s="50"/>
      <c r="E7" s="50"/>
      <c r="F7" s="50"/>
    </row>
    <row r="8" spans="1:6" ht="15" x14ac:dyDescent="0.25">
      <c r="A8" t="s">
        <v>141</v>
      </c>
      <c r="B8" s="81">
        <f>'Data and assumptions'!D139</f>
        <v>0.01</v>
      </c>
      <c r="C8" s="81">
        <f>'Data and assumptions'!E139</f>
        <v>0.02</v>
      </c>
      <c r="D8" s="50"/>
      <c r="E8" s="50"/>
      <c r="F8" s="50"/>
    </row>
    <row r="9" spans="1:6" ht="15" x14ac:dyDescent="0.25">
      <c r="A9" t="s">
        <v>142</v>
      </c>
      <c r="B9" s="81">
        <f>'Data and assumptions'!D140</f>
        <v>0.02</v>
      </c>
      <c r="C9" s="81">
        <f>'Data and assumptions'!E140</f>
        <v>0.03</v>
      </c>
      <c r="D9" s="50"/>
      <c r="E9" s="50"/>
      <c r="F9" s="50"/>
    </row>
    <row r="10" spans="1:6" ht="15" x14ac:dyDescent="0.25">
      <c r="A10" s="1" t="s">
        <v>143</v>
      </c>
      <c r="B10" s="82">
        <f>'Data and assumptions'!D141</f>
        <v>0.10750000000000001</v>
      </c>
      <c r="C10" s="82">
        <f>'Data and assumptions'!E141</f>
        <v>0.14150000000000001</v>
      </c>
      <c r="D10" s="50"/>
      <c r="E10" s="50"/>
      <c r="F10" s="50"/>
    </row>
    <row r="11" spans="1:6" ht="15" x14ac:dyDescent="0.25">
      <c r="D11" s="50"/>
      <c r="E11" s="50"/>
      <c r="F11" s="50"/>
    </row>
    <row r="12" spans="1:6" ht="15" x14ac:dyDescent="0.25">
      <c r="A12" t="s">
        <v>144</v>
      </c>
      <c r="B12" s="81">
        <f>'Data and assumptions'!D143</f>
        <v>0.02</v>
      </c>
      <c r="C12" s="81">
        <f>'Data and assumptions'!E143</f>
        <v>2.5000000000000001E-2</v>
      </c>
      <c r="D12" s="50"/>
      <c r="E12" s="50"/>
      <c r="F12" s="50"/>
    </row>
    <row r="13" spans="1:6" ht="15" x14ac:dyDescent="0.25">
      <c r="A13" s="1" t="s">
        <v>145</v>
      </c>
      <c r="B13" s="82">
        <f>'Data and assumptions'!D144</f>
        <v>4.1499999999999995E-2</v>
      </c>
      <c r="C13" s="82">
        <f>'Data and assumptions'!E144</f>
        <v>4.65E-2</v>
      </c>
      <c r="D13" s="50"/>
      <c r="E13" s="50"/>
      <c r="F13" s="50"/>
    </row>
    <row r="14" spans="1:6" ht="15" x14ac:dyDescent="0.25">
      <c r="A14" s="1"/>
      <c r="D14" s="50"/>
      <c r="E14" s="50"/>
      <c r="F14" s="50"/>
    </row>
    <row r="15" spans="1:6" ht="15" x14ac:dyDescent="0.25">
      <c r="A15" t="s">
        <v>146</v>
      </c>
      <c r="B15" s="81">
        <f>'Data and assumptions'!D146</f>
        <v>0.2</v>
      </c>
      <c r="C15" s="81">
        <f>'Data and assumptions'!E146</f>
        <v>0.3</v>
      </c>
      <c r="D15" s="50"/>
      <c r="E15" s="50"/>
      <c r="F15" s="50"/>
    </row>
    <row r="16" spans="1:6" ht="15" x14ac:dyDescent="0.25">
      <c r="A16" t="s">
        <v>147</v>
      </c>
      <c r="B16" s="81">
        <f>'Data and assumptions'!D147</f>
        <v>0.3</v>
      </c>
      <c r="C16" s="81">
        <f>'Data and assumptions'!E147</f>
        <v>0.3</v>
      </c>
      <c r="D16" s="50"/>
      <c r="E16" s="50"/>
      <c r="F16" s="50"/>
    </row>
    <row r="17" spans="1:6" ht="15" x14ac:dyDescent="0.25">
      <c r="A17" s="1" t="s">
        <v>153</v>
      </c>
      <c r="B17" s="82">
        <f>'Data and assumptions'!D148</f>
        <v>9.1810000000000017E-2</v>
      </c>
      <c r="C17" s="82">
        <f>'Data and assumptions'!E148</f>
        <v>0.108815</v>
      </c>
      <c r="D17" s="50"/>
      <c r="E17" s="50"/>
      <c r="F17" s="50"/>
    </row>
    <row r="18" spans="1:6" ht="15" x14ac:dyDescent="0.25">
      <c r="D18" s="50"/>
      <c r="E18" s="50"/>
      <c r="F18" s="50"/>
    </row>
    <row r="19" spans="1:6" ht="15.75" thickBot="1" x14ac:dyDescent="0.3">
      <c r="A19" s="1" t="s">
        <v>148</v>
      </c>
      <c r="B19" s="83">
        <f>'Data and assumptions'!D150</f>
        <v>0.09</v>
      </c>
      <c r="C19" s="83">
        <f>'Data and assumptions'!E150</f>
        <v>0.11</v>
      </c>
      <c r="D19" s="50"/>
      <c r="E19" s="50"/>
      <c r="F19" s="50"/>
    </row>
    <row r="20" spans="1:6" ht="15" x14ac:dyDescent="0.25">
      <c r="B20" s="50"/>
      <c r="C20" s="50"/>
      <c r="D20" s="50"/>
      <c r="E20" s="50"/>
      <c r="F20" s="50"/>
    </row>
    <row r="21" spans="1:6" ht="15" hidden="1" x14ac:dyDescent="0.25">
      <c r="B21" s="50"/>
      <c r="C21" s="50"/>
      <c r="D21" s="50"/>
      <c r="E21" s="50"/>
      <c r="F21" s="50"/>
    </row>
    <row r="22" spans="1:6" ht="15" hidden="1" x14ac:dyDescent="0.25">
      <c r="B22" s="50"/>
      <c r="C22" s="50"/>
      <c r="D22" s="50"/>
      <c r="E22" s="50"/>
      <c r="F22" s="50"/>
    </row>
    <row r="23" spans="1:6" ht="15" hidden="1" x14ac:dyDescent="0.25">
      <c r="B23" s="50"/>
      <c r="C23" s="50"/>
      <c r="D23" s="50"/>
      <c r="E23" s="50"/>
      <c r="F23" s="50"/>
    </row>
    <row r="24" spans="1:6" ht="15" hidden="1" x14ac:dyDescent="0.25"/>
    <row r="25" spans="1:6" ht="15" hidden="1" x14ac:dyDescent="0.25"/>
    <row r="26" spans="1:6" ht="15" hidden="1" x14ac:dyDescent="0.25"/>
    <row r="27" spans="1:6" ht="15" hidden="1" x14ac:dyDescent="0.25"/>
    <row r="28" spans="1:6" ht="15" hidden="1" x14ac:dyDescent="0.25"/>
    <row r="29" spans="1:6" ht="15" hidden="1" x14ac:dyDescent="0.25"/>
    <row r="30" spans="1:6" ht="15" hidden="1" x14ac:dyDescent="0.25"/>
    <row r="31" spans="1:6" ht="15" hidden="1" x14ac:dyDescent="0.25"/>
    <row r="32" spans="1:6"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x14ac:dyDescent="0.25"/>
    <row r="49" ht="15" hidden="1" x14ac:dyDescent="0.25"/>
    <row r="50" ht="15" hidden="1" x14ac:dyDescent="0.25"/>
    <row r="51" ht="15" hidden="1" x14ac:dyDescent="0.25"/>
    <row r="52" ht="15" hidden="1" x14ac:dyDescent="0.25"/>
    <row r="53" ht="15" hidden="1" x14ac:dyDescent="0.25"/>
    <row r="54" ht="15" hidden="1" x14ac:dyDescent="0.25"/>
    <row r="55" ht="15" hidden="1" x14ac:dyDescent="0.25"/>
    <row r="56" ht="15" hidden="1" x14ac:dyDescent="0.25"/>
    <row r="57" ht="15" hidden="1" x14ac:dyDescent="0.25"/>
    <row r="58" ht="15" hidden="1" x14ac:dyDescent="0.25"/>
    <row r="59" ht="15" hidden="1" x14ac:dyDescent="0.25"/>
    <row r="60" ht="15" hidden="1" x14ac:dyDescent="0.25"/>
    <row r="61" ht="15" hidden="1" x14ac:dyDescent="0.25"/>
    <row r="62" ht="15" hidden="1" x14ac:dyDescent="0.25"/>
    <row r="63" ht="15" hidden="1" x14ac:dyDescent="0.25"/>
    <row r="64"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sheetData>
  <pageMargins left="0.51181102362204722" right="0.51181102362204722" top="0.74803149606299213" bottom="0.74803149606299213" header="0.31496062992125984" footer="0.31496062992125984"/>
  <pageSetup paperSize="9" fitToHeight="0" orientation="portrait" r:id="rId1"/>
  <headerFooter>
    <oddFooter>&amp;C&amp;9Page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1CFE4174BE3C41AF0DDD0ED494CF9C" ma:contentTypeVersion="10" ma:contentTypeDescription="Create a new document." ma:contentTypeScope="" ma:versionID="77d1db6ac320a33aabb569ea595b9997">
  <xsd:schema xmlns:xsd="http://www.w3.org/2001/XMLSchema" xmlns:xs="http://www.w3.org/2001/XMLSchema" xmlns:p="http://schemas.microsoft.com/office/2006/metadata/properties" xmlns:ns2="0b5c010e-a225-42d9-831b-2060135735c1" targetNamespace="http://schemas.microsoft.com/office/2006/metadata/properties" ma:root="true" ma:fieldsID="885435a336cadd660451438e0a9f956f" ns2:_="">
    <xsd:import namespace="0b5c010e-a225-42d9-831b-2060135735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5c010e-a225-42d9-831b-2060135735c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668C68-0B9D-4F5E-8D55-60865EFE94D1}"/>
</file>

<file path=customXml/itemProps2.xml><?xml version="1.0" encoding="utf-8"?>
<ds:datastoreItem xmlns:ds="http://schemas.openxmlformats.org/officeDocument/2006/customXml" ds:itemID="{E3C50C59-5575-4111-9579-3530FF3C03DA}"/>
</file>

<file path=customXml/itemProps3.xml><?xml version="1.0" encoding="utf-8"?>
<ds:datastoreItem xmlns:ds="http://schemas.openxmlformats.org/officeDocument/2006/customXml" ds:itemID="{231802D6-5042-4BF7-ACB9-2330CCCDA4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Introduction</vt:lpstr>
      <vt:lpstr>Background</vt:lpstr>
      <vt:lpstr>Data and assumptions</vt:lpstr>
      <vt:lpstr>Cover</vt:lpstr>
      <vt:lpstr>Contents</vt:lpstr>
      <vt:lpstr>Income Statement</vt:lpstr>
      <vt:lpstr>Financial Position</vt:lpstr>
      <vt:lpstr>Cashflow</vt:lpstr>
      <vt:lpstr>Discount Rate</vt:lpstr>
      <vt:lpstr>Fair Value</vt:lpstr>
      <vt:lpstr>Value in Use</vt:lpstr>
      <vt:lpstr>Impairment Conclusion</vt:lpstr>
      <vt:lpstr>Last_YE</vt:lpstr>
      <vt:lpstr>'Fair Value'!Print_Area</vt:lpstr>
      <vt:lpstr>'Impairment Conclusion'!Print_Area</vt:lpstr>
      <vt:lpstr>'Value in Use'!Print_Area</vt:lpstr>
      <vt:lpstr>'Value in Use'!Print_Titles</vt:lpstr>
      <vt:lpstr>Scope</vt:lpstr>
      <vt:lpstr>Segment_1</vt:lpstr>
      <vt:lpstr>Segment_2</vt:lpstr>
      <vt:lpstr>Segment_3</vt:lpstr>
      <vt:lpstr>Segment_4</vt:lpstr>
      <vt:lpstr>Segment_5</vt:lpstr>
      <vt:lpstr>Subject</vt:lpstr>
      <vt:lpstr>TV_Growth</vt:lpstr>
      <vt:lpstr>Units</vt:lpstr>
      <vt:lpstr>Val_Date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Norris</dc:creator>
  <cp:lastModifiedBy>Richard Norris</cp:lastModifiedBy>
  <cp:lastPrinted>2019-10-14T00:21:41Z</cp:lastPrinted>
  <dcterms:created xsi:type="dcterms:W3CDTF">2017-04-23T22:22:13Z</dcterms:created>
  <dcterms:modified xsi:type="dcterms:W3CDTF">2020-03-31T06:24:48Z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0x0101004F1CFE4174BE3C41AF0DDD0ED494CF9C</vt:lpwstr>
  </property>
</Properties>
</file>