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Dalgarno\Datto Workplace\01. Live SD Restricted Access\9994 PPA\"/>
    </mc:Choice>
  </mc:AlternateContent>
  <xr:revisionPtr revIDLastSave="0" documentId="13_ncr:1_{45D5B429-813B-4570-A5B5-C4AB065DDB10}" xr6:coauthVersionLast="47" xr6:coauthVersionMax="47" xr10:uidLastSave="{00000000-0000-0000-0000-000000000000}"/>
  <bookViews>
    <workbookView xWindow="-110" yWindow="-110" windowWidth="19420" windowHeight="10300" tabRatio="813" xr2:uid="{00000000-000D-0000-FFFF-FFFF00000000}"/>
  </bookViews>
  <sheets>
    <sheet name="Introduction" sheetId="1" r:id="rId1"/>
    <sheet name="Contents" sheetId="9" r:id="rId2"/>
    <sheet name="Business combination" sheetId="6" r:id="rId3"/>
    <sheet name="Purchase price" sheetId="2" r:id="rId4"/>
    <sheet name="Net tangible assets" sheetId="7" r:id="rId5"/>
    <sheet name="Fair value of business" sheetId="8" r:id="rId6"/>
    <sheet name="Cash flows" sheetId="10" r:id="rId7"/>
    <sheet name="Discount rate" sheetId="11" r:id="rId8"/>
    <sheet name="Identify intangibles" sheetId="13" r:id="rId9"/>
    <sheet name="Brandname" sheetId="14" r:id="rId10"/>
    <sheet name="Software" sheetId="15" r:id="rId11"/>
    <sheet name="Non-compete" sheetId="16" r:id="rId12"/>
    <sheet name="Workforce" sheetId="17" r:id="rId13"/>
    <sheet name="Relationships" sheetId="18" r:id="rId14"/>
    <sheet name="Goodwill" sheetId="19" r:id="rId15"/>
    <sheet name="WACC WARA" sheetId="20" r:id="rId16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"11/20/2017 22:26:01"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9">Brandname!$A$1:$I$20</definedName>
    <definedName name="_xlnm.Print_Area" localSheetId="6">'Cash flows'!$A$1:$J$33</definedName>
    <definedName name="_xlnm.Print_Area" localSheetId="7">'Discount rate'!$A$1:$C$31</definedName>
    <definedName name="_xlnm.Print_Area" localSheetId="5">'Fair value of business'!$A$1:$B$10</definedName>
    <definedName name="_xlnm.Print_Area" localSheetId="14">Goodwill!$A$1:$D$24</definedName>
    <definedName name="_xlnm.Print_Area" localSheetId="4">'Net tangible assets'!$A$1:$B$14</definedName>
    <definedName name="_xlnm.Print_Area" localSheetId="11">'Non-compete'!$A$1:$F$19</definedName>
    <definedName name="_xlnm.Print_Area" localSheetId="3">'Purchase price'!$A$1:$F$45</definedName>
    <definedName name="_xlnm.Print_Area" localSheetId="13">Relationships!$A$1:$AE$32</definedName>
    <definedName name="_xlnm.Print_Area" localSheetId="10">Software!$A$1:$H$40</definedName>
    <definedName name="_xlnm.Print_Area" localSheetId="15">'WACC WARA'!$A$1:$D$23</definedName>
    <definedName name="_xlnm.Print_Area" localSheetId="12">Workforce!$A$1:$H$40</definedName>
    <definedName name="_xlnm.Print_Titles" localSheetId="13">Relationships!$A:$A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8" l="1"/>
  <c r="D27" i="10"/>
  <c r="E18" i="10"/>
  <c r="F18" i="10"/>
  <c r="G18" i="10"/>
  <c r="H18" i="10"/>
  <c r="I18" i="10"/>
  <c r="D18" i="10"/>
  <c r="F28" i="10"/>
  <c r="G28" i="10"/>
  <c r="H28" i="10"/>
  <c r="I28" i="10"/>
  <c r="D28" i="10"/>
  <c r="D32" i="10" s="1"/>
  <c r="E32" i="10" s="1"/>
  <c r="F32" i="10" s="1"/>
  <c r="G32" i="10" s="1"/>
  <c r="H32" i="10" s="1"/>
  <c r="I32" i="10" s="1"/>
  <c r="E28" i="10"/>
  <c r="C32" i="10"/>
  <c r="C9" i="10"/>
  <c r="C11" i="10" s="1"/>
  <c r="C13" i="10" s="1"/>
  <c r="C15" i="10" s="1"/>
  <c r="D20" i="10"/>
  <c r="C31" i="10" l="1"/>
  <c r="C29" i="10"/>
  <c r="C30" i="10"/>
  <c r="B29" i="18"/>
  <c r="I10" i="18"/>
  <c r="I9" i="18"/>
  <c r="B15" i="16"/>
  <c r="B15" i="14"/>
  <c r="F6" i="16" l="1"/>
  <c r="F8" i="16" s="1"/>
  <c r="C6" i="16"/>
  <c r="C6" i="14"/>
  <c r="K6" i="18"/>
  <c r="C15" i="18"/>
  <c r="B16" i="9" l="1"/>
  <c r="B15" i="9"/>
  <c r="B14" i="9"/>
  <c r="B13" i="9"/>
  <c r="C18" i="20"/>
  <c r="C9" i="20"/>
  <c r="C4" i="20"/>
  <c r="C6" i="20" s="1"/>
  <c r="C5" i="20"/>
  <c r="B5" i="20"/>
  <c r="B6" i="20"/>
  <c r="B4" i="20"/>
  <c r="A6" i="20"/>
  <c r="A5" i="20"/>
  <c r="A4" i="20"/>
  <c r="D18" i="19"/>
  <c r="K7" i="18"/>
  <c r="K8" i="18" s="1"/>
  <c r="K9" i="18" s="1"/>
  <c r="K10" i="18" s="1"/>
  <c r="C15" i="20"/>
  <c r="G7" i="18"/>
  <c r="J7" i="18" s="1"/>
  <c r="G6" i="18"/>
  <c r="J6" i="18" s="1"/>
  <c r="B23" i="18"/>
  <c r="H19" i="18"/>
  <c r="I19" i="18" s="1"/>
  <c r="J19" i="18" s="1"/>
  <c r="K19" i="18" s="1"/>
  <c r="L19" i="18" s="1"/>
  <c r="G19" i="18"/>
  <c r="F19" i="18"/>
  <c r="E19" i="18"/>
  <c r="D19" i="18"/>
  <c r="C19" i="18"/>
  <c r="C16" i="18" s="1"/>
  <c r="G23" i="17"/>
  <c r="G24" i="17" s="1"/>
  <c r="G25" i="17" s="1"/>
  <c r="F23" i="17"/>
  <c r="F24" i="17" s="1"/>
  <c r="F25" i="17" s="1"/>
  <c r="E23" i="17"/>
  <c r="E24" i="17" s="1"/>
  <c r="E25" i="17" s="1"/>
  <c r="D23" i="17"/>
  <c r="D24" i="17" s="1"/>
  <c r="D25" i="17" s="1"/>
  <c r="C23" i="17"/>
  <c r="C24" i="17" s="1"/>
  <c r="C25" i="17" s="1"/>
  <c r="B23" i="17"/>
  <c r="B24" i="17" s="1"/>
  <c r="B25" i="17" s="1"/>
  <c r="G15" i="17"/>
  <c r="G18" i="17" s="1"/>
  <c r="G19" i="17" s="1"/>
  <c r="F15" i="17"/>
  <c r="F18" i="17" s="1"/>
  <c r="F19" i="17" s="1"/>
  <c r="E15" i="17"/>
  <c r="E18" i="17" s="1"/>
  <c r="E19" i="17" s="1"/>
  <c r="D15" i="17"/>
  <c r="D18" i="17" s="1"/>
  <c r="D19" i="17" s="1"/>
  <c r="C15" i="17"/>
  <c r="C18" i="17" s="1"/>
  <c r="C19" i="17" s="1"/>
  <c r="B15" i="17"/>
  <c r="B18" i="17" s="1"/>
  <c r="B19" i="17" s="1"/>
  <c r="F8" i="17"/>
  <c r="F12" i="17" s="1"/>
  <c r="E8" i="17"/>
  <c r="E12" i="17" s="1"/>
  <c r="D8" i="17"/>
  <c r="D12" i="17" s="1"/>
  <c r="C8" i="17"/>
  <c r="C12" i="17" s="1"/>
  <c r="B8" i="17"/>
  <c r="B12" i="17" s="1"/>
  <c r="G8" i="17"/>
  <c r="G12" i="17" s="1"/>
  <c r="B27" i="17" l="1"/>
  <c r="M19" i="18"/>
  <c r="N19" i="18" s="1"/>
  <c r="O19" i="18" s="1"/>
  <c r="P19" i="18" s="1"/>
  <c r="C17" i="20"/>
  <c r="D5" i="20"/>
  <c r="D6" i="20"/>
  <c r="B7" i="20"/>
  <c r="D4" i="20"/>
  <c r="L6" i="18"/>
  <c r="L7" i="18"/>
  <c r="C27" i="17"/>
  <c r="D27" i="17"/>
  <c r="G27" i="17"/>
  <c r="F27" i="17"/>
  <c r="E27" i="17"/>
  <c r="C17" i="18"/>
  <c r="D6" i="16"/>
  <c r="E6" i="16"/>
  <c r="C16" i="20" l="1"/>
  <c r="C18" i="18"/>
  <c r="D14" i="18"/>
  <c r="D15" i="18" s="1"/>
  <c r="D16" i="18" s="1"/>
  <c r="Q19" i="18"/>
  <c r="D7" i="20"/>
  <c r="C7" i="20" s="1"/>
  <c r="G29" i="17"/>
  <c r="D8" i="16"/>
  <c r="E8" i="16"/>
  <c r="B12" i="9"/>
  <c r="B11" i="16"/>
  <c r="C8" i="16"/>
  <c r="B11" i="9"/>
  <c r="A30" i="15"/>
  <c r="E29" i="15"/>
  <c r="G29" i="15" s="1"/>
  <c r="E28" i="15"/>
  <c r="G28" i="15" s="1"/>
  <c r="E27" i="15"/>
  <c r="G27" i="15" s="1"/>
  <c r="E26" i="15"/>
  <c r="G26" i="15" s="1"/>
  <c r="E25" i="15"/>
  <c r="G25" i="15" s="1"/>
  <c r="E24" i="15"/>
  <c r="G24" i="15" s="1"/>
  <c r="A21" i="15"/>
  <c r="E20" i="15"/>
  <c r="G20" i="15" s="1"/>
  <c r="E19" i="15"/>
  <c r="G19" i="15" s="1"/>
  <c r="E18" i="15"/>
  <c r="G18" i="15" s="1"/>
  <c r="E17" i="15"/>
  <c r="G17" i="15" s="1"/>
  <c r="E16" i="15"/>
  <c r="G16" i="15" s="1"/>
  <c r="E15" i="15"/>
  <c r="G15" i="15" s="1"/>
  <c r="E7" i="15"/>
  <c r="G7" i="15" s="1"/>
  <c r="E8" i="15"/>
  <c r="G8" i="15" s="1"/>
  <c r="E9" i="15"/>
  <c r="G9" i="15" s="1"/>
  <c r="E10" i="15"/>
  <c r="G10" i="15" s="1"/>
  <c r="E11" i="15"/>
  <c r="G11" i="15" s="1"/>
  <c r="E6" i="15"/>
  <c r="G6" i="15" s="1"/>
  <c r="A12" i="15"/>
  <c r="G10" i="18" l="1"/>
  <c r="J10" i="18" s="1"/>
  <c r="L10" i="18" s="1"/>
  <c r="B18" i="20"/>
  <c r="D18" i="20" s="1"/>
  <c r="R19" i="18"/>
  <c r="D17" i="18"/>
  <c r="E14" i="18" s="1"/>
  <c r="E15" i="18" s="1"/>
  <c r="G30" i="15"/>
  <c r="G12" i="15"/>
  <c r="G21" i="15"/>
  <c r="G32" i="15" l="1"/>
  <c r="S19" i="18"/>
  <c r="D18" i="18"/>
  <c r="E16" i="18"/>
  <c r="E17" i="18" s="1"/>
  <c r="B10" i="9"/>
  <c r="C14" i="20"/>
  <c r="B11" i="14"/>
  <c r="L8" i="18" s="1"/>
  <c r="D6" i="14"/>
  <c r="D8" i="14" s="1"/>
  <c r="D10" i="14" s="1"/>
  <c r="E6" i="14"/>
  <c r="E8" i="14" s="1"/>
  <c r="E10" i="14" s="1"/>
  <c r="F6" i="14"/>
  <c r="F8" i="14" s="1"/>
  <c r="G6" i="14"/>
  <c r="G8" i="14" s="1"/>
  <c r="H6" i="14"/>
  <c r="H8" i="14" s="1"/>
  <c r="C8" i="14"/>
  <c r="B9" i="9"/>
  <c r="B19" i="11"/>
  <c r="T19" i="18" l="1"/>
  <c r="U19" i="18" s="1"/>
  <c r="E18" i="18"/>
  <c r="F14" i="18"/>
  <c r="F15" i="18" s="1"/>
  <c r="F16" i="18" s="1"/>
  <c r="F17" i="18" s="1"/>
  <c r="G33" i="15"/>
  <c r="D11" i="14"/>
  <c r="D12" i="14" s="1"/>
  <c r="E11" i="14"/>
  <c r="E12" i="14" s="1"/>
  <c r="C10" i="14"/>
  <c r="F10" i="14"/>
  <c r="G10" i="14"/>
  <c r="H10" i="14"/>
  <c r="B8" i="9"/>
  <c r="B14" i="11"/>
  <c r="C14" i="11" s="1"/>
  <c r="C12" i="11"/>
  <c r="B12" i="11"/>
  <c r="C9" i="11"/>
  <c r="B9" i="11"/>
  <c r="B7" i="9"/>
  <c r="E23" i="10"/>
  <c r="D23" i="10"/>
  <c r="E16" i="10"/>
  <c r="F16" i="10"/>
  <c r="G16" i="10"/>
  <c r="H16" i="10"/>
  <c r="I16" i="10"/>
  <c r="D16" i="10"/>
  <c r="E9" i="10"/>
  <c r="E11" i="10" s="1"/>
  <c r="E13" i="10" s="1"/>
  <c r="F9" i="10"/>
  <c r="F11" i="10" s="1"/>
  <c r="F13" i="10" s="1"/>
  <c r="G9" i="10"/>
  <c r="G11" i="10" s="1"/>
  <c r="G13" i="10" s="1"/>
  <c r="H9" i="10"/>
  <c r="H11" i="10" s="1"/>
  <c r="H13" i="10" s="1"/>
  <c r="I9" i="10"/>
  <c r="I11" i="10" s="1"/>
  <c r="I13" i="10" s="1"/>
  <c r="H19" i="14" s="1"/>
  <c r="D9" i="10"/>
  <c r="D11" i="10" s="1"/>
  <c r="D13" i="10" s="1"/>
  <c r="D24" i="10" l="1"/>
  <c r="C28" i="18"/>
  <c r="C29" i="18" s="1"/>
  <c r="C14" i="16"/>
  <c r="C15" i="16" s="1"/>
  <c r="C14" i="14"/>
  <c r="C15" i="14" s="1"/>
  <c r="E31" i="10"/>
  <c r="D21" i="18"/>
  <c r="D22" i="18" s="1"/>
  <c r="D23" i="18" s="1"/>
  <c r="D24" i="18" s="1"/>
  <c r="E24" i="10"/>
  <c r="D28" i="18"/>
  <c r="D29" i="18" s="1"/>
  <c r="D14" i="16"/>
  <c r="D15" i="16" s="1"/>
  <c r="D14" i="14"/>
  <c r="D15" i="14" s="1"/>
  <c r="D16" i="14" s="1"/>
  <c r="H31" i="10"/>
  <c r="G21" i="18"/>
  <c r="G31" i="10"/>
  <c r="F21" i="18"/>
  <c r="F22" i="18" s="1"/>
  <c r="F31" i="10"/>
  <c r="E21" i="18"/>
  <c r="E22" i="18" s="1"/>
  <c r="D19" i="14"/>
  <c r="B15" i="11"/>
  <c r="B18" i="11" s="1"/>
  <c r="E19" i="14"/>
  <c r="I31" i="10"/>
  <c r="H21" i="18"/>
  <c r="I21" i="18" s="1"/>
  <c r="J21" i="18" s="1"/>
  <c r="K21" i="18" s="1"/>
  <c r="L21" i="18" s="1"/>
  <c r="M21" i="18" s="1"/>
  <c r="N21" i="18" s="1"/>
  <c r="O21" i="18" s="1"/>
  <c r="P21" i="18" s="1"/>
  <c r="Q21" i="18" s="1"/>
  <c r="R21" i="18" s="1"/>
  <c r="S21" i="18" s="1"/>
  <c r="T21" i="18" s="1"/>
  <c r="U21" i="18" s="1"/>
  <c r="V21" i="18" s="1"/>
  <c r="W21" i="18" s="1"/>
  <c r="X21" i="18" s="1"/>
  <c r="Y21" i="18" s="1"/>
  <c r="Z21" i="18" s="1"/>
  <c r="AA21" i="18" s="1"/>
  <c r="AB21" i="18" s="1"/>
  <c r="AC21" i="18" s="1"/>
  <c r="AD21" i="18" s="1"/>
  <c r="AE21" i="18" s="1"/>
  <c r="G19" i="14"/>
  <c r="F19" i="14"/>
  <c r="D31" i="10"/>
  <c r="C21" i="18"/>
  <c r="C22" i="18" s="1"/>
  <c r="C23" i="18" s="1"/>
  <c r="C24" i="18" s="1"/>
  <c r="C19" i="14"/>
  <c r="V19" i="18"/>
  <c r="F18" i="18"/>
  <c r="G14" i="18"/>
  <c r="G15" i="18" s="1"/>
  <c r="G16" i="18" s="1"/>
  <c r="G17" i="18" s="1"/>
  <c r="G34" i="15"/>
  <c r="G35" i="15" s="1"/>
  <c r="H11" i="14"/>
  <c r="H12" i="14" s="1"/>
  <c r="I12" i="14" s="1"/>
  <c r="F11" i="14"/>
  <c r="F12" i="14" s="1"/>
  <c r="G11" i="14"/>
  <c r="G12" i="14" s="1"/>
  <c r="C11" i="14"/>
  <c r="C12" i="14" s="1"/>
  <c r="F23" i="10"/>
  <c r="E29" i="10"/>
  <c r="D9" i="16" s="1"/>
  <c r="D10" i="16" s="1"/>
  <c r="C15" i="11"/>
  <c r="C18" i="11" s="1"/>
  <c r="D30" i="10"/>
  <c r="D29" i="10"/>
  <c r="C9" i="16" s="1"/>
  <c r="C10" i="16" s="1"/>
  <c r="C11" i="16" s="1"/>
  <c r="C12" i="16" s="1"/>
  <c r="C16" i="16" s="1"/>
  <c r="E30" i="10"/>
  <c r="I30" i="10"/>
  <c r="I29" i="10"/>
  <c r="H29" i="10"/>
  <c r="H30" i="10"/>
  <c r="G29" i="10"/>
  <c r="F9" i="16" s="1"/>
  <c r="F10" i="16" s="1"/>
  <c r="F11" i="16" s="1"/>
  <c r="F12" i="16" s="1"/>
  <c r="G30" i="10"/>
  <c r="F30" i="10"/>
  <c r="F29" i="10"/>
  <c r="E9" i="16" s="1"/>
  <c r="E10" i="16" s="1"/>
  <c r="E11" i="16" s="1"/>
  <c r="E12" i="16" s="1"/>
  <c r="F14" i="10"/>
  <c r="F15" i="10" s="1"/>
  <c r="F19" i="10" s="1"/>
  <c r="F21" i="10" s="1"/>
  <c r="I14" i="10"/>
  <c r="I15" i="10" s="1"/>
  <c r="I19" i="10" s="1"/>
  <c r="I21" i="10" s="1"/>
  <c r="E14" i="10"/>
  <c r="E15" i="10" s="1"/>
  <c r="E19" i="10" s="1"/>
  <c r="H14" i="10"/>
  <c r="H15" i="10" s="1"/>
  <c r="H19" i="10" s="1"/>
  <c r="H21" i="10" s="1"/>
  <c r="G14" i="10"/>
  <c r="G15" i="10" s="1"/>
  <c r="G19" i="10" s="1"/>
  <c r="G21" i="10" s="1"/>
  <c r="D14" i="10"/>
  <c r="D15" i="10" s="1"/>
  <c r="D19" i="10" s="1"/>
  <c r="D21" i="10" s="1"/>
  <c r="G23" i="10"/>
  <c r="D11" i="16" l="1"/>
  <c r="D12" i="16" s="1"/>
  <c r="D16" i="16" s="1"/>
  <c r="F14" i="16"/>
  <c r="F15" i="16" s="1"/>
  <c r="F16" i="16" s="1"/>
  <c r="F28" i="18"/>
  <c r="F29" i="18" s="1"/>
  <c r="F14" i="14"/>
  <c r="F15" i="14" s="1"/>
  <c r="F16" i="14" s="1"/>
  <c r="E25" i="10"/>
  <c r="E21" i="10"/>
  <c r="F24" i="10"/>
  <c r="E28" i="18"/>
  <c r="E29" i="18" s="1"/>
  <c r="E14" i="16"/>
  <c r="E15" i="16" s="1"/>
  <c r="E16" i="16" s="1"/>
  <c r="E14" i="14"/>
  <c r="E15" i="14" s="1"/>
  <c r="E16" i="14" s="1"/>
  <c r="G9" i="18"/>
  <c r="J9" i="18" s="1"/>
  <c r="L9" i="18" s="1"/>
  <c r="B7" i="19"/>
  <c r="B20" i="19" s="1"/>
  <c r="D25" i="10"/>
  <c r="F25" i="10"/>
  <c r="W19" i="18"/>
  <c r="G18" i="18"/>
  <c r="H14" i="18"/>
  <c r="H15" i="18" s="1"/>
  <c r="H16" i="18" s="1"/>
  <c r="H17" i="18" s="1"/>
  <c r="I14" i="18" s="1"/>
  <c r="I15" i="18" s="1"/>
  <c r="G22" i="18"/>
  <c r="F23" i="18"/>
  <c r="F24" i="18" s="1"/>
  <c r="E23" i="18"/>
  <c r="E24" i="18" s="1"/>
  <c r="C16" i="14"/>
  <c r="J19" i="10"/>
  <c r="J21" i="10" s="1"/>
  <c r="H23" i="10"/>
  <c r="G24" i="10"/>
  <c r="G25" i="10" s="1"/>
  <c r="C17" i="16" l="1"/>
  <c r="B8" i="19" s="1"/>
  <c r="B21" i="19" s="1"/>
  <c r="D21" i="19" s="1"/>
  <c r="G28" i="18"/>
  <c r="G29" i="18" s="1"/>
  <c r="G14" i="14"/>
  <c r="G15" i="14" s="1"/>
  <c r="G16" i="14" s="1"/>
  <c r="B15" i="20"/>
  <c r="D15" i="20" s="1"/>
  <c r="C20" i="19"/>
  <c r="C23" i="19" s="1"/>
  <c r="D20" i="19"/>
  <c r="X19" i="18"/>
  <c r="H18" i="18"/>
  <c r="H22" i="18"/>
  <c r="I23" i="10"/>
  <c r="H24" i="10"/>
  <c r="H25" i="10" s="1"/>
  <c r="B16" i="20" l="1"/>
  <c r="D16" i="20" s="1"/>
  <c r="I24" i="10"/>
  <c r="H28" i="18"/>
  <c r="H14" i="14"/>
  <c r="H15" i="14" s="1"/>
  <c r="Y19" i="18"/>
  <c r="I16" i="18"/>
  <c r="I17" i="18" s="1"/>
  <c r="J24" i="10"/>
  <c r="J25" i="10" s="1"/>
  <c r="I25" i="10"/>
  <c r="I15" i="14" l="1"/>
  <c r="I16" i="14" s="1"/>
  <c r="H16" i="14"/>
  <c r="I28" i="18"/>
  <c r="H29" i="18"/>
  <c r="D26" i="10"/>
  <c r="Z19" i="18"/>
  <c r="I18" i="18"/>
  <c r="J14" i="18"/>
  <c r="J15" i="18" s="1"/>
  <c r="J16" i="18" s="1"/>
  <c r="J17" i="18" s="1"/>
  <c r="I22" i="18"/>
  <c r="I23" i="18" s="1"/>
  <c r="I24" i="18" s="1"/>
  <c r="C17" i="14" l="1"/>
  <c r="J28" i="18"/>
  <c r="I29" i="18"/>
  <c r="AA19" i="18"/>
  <c r="J18" i="18"/>
  <c r="K14" i="18"/>
  <c r="K15" i="18" s="1"/>
  <c r="K16" i="18" s="1"/>
  <c r="K17" i="18" s="1"/>
  <c r="J22" i="18"/>
  <c r="J23" i="18" s="1"/>
  <c r="J24" i="18" s="1"/>
  <c r="B6" i="9"/>
  <c r="B5" i="9"/>
  <c r="F31" i="2"/>
  <c r="F32" i="2"/>
  <c r="F33" i="2"/>
  <c r="F34" i="2"/>
  <c r="F30" i="2"/>
  <c r="B4" i="9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B3" i="9"/>
  <c r="B12" i="7"/>
  <c r="B6" i="8" s="1"/>
  <c r="B7" i="7"/>
  <c r="C35" i="2"/>
  <c r="B45" i="2"/>
  <c r="B9" i="2" s="1"/>
  <c r="B15" i="2"/>
  <c r="B6" i="2" s="1"/>
  <c r="E21" i="2"/>
  <c r="E22" i="2"/>
  <c r="E23" i="2"/>
  <c r="E24" i="2"/>
  <c r="E20" i="2"/>
  <c r="K28" i="18" l="1"/>
  <c r="J29" i="18"/>
  <c r="E25" i="2"/>
  <c r="B7" i="2" s="1"/>
  <c r="B14" i="7"/>
  <c r="B13" i="19"/>
  <c r="B6" i="19"/>
  <c r="B19" i="19" s="1"/>
  <c r="B14" i="20" s="1"/>
  <c r="D14" i="20" s="1"/>
  <c r="G8" i="18"/>
  <c r="L11" i="18" s="1"/>
  <c r="B25" i="18" s="1"/>
  <c r="AB19" i="18"/>
  <c r="K18" i="18"/>
  <c r="L14" i="18"/>
  <c r="L15" i="18" s="1"/>
  <c r="L16" i="18" s="1"/>
  <c r="L17" i="18" s="1"/>
  <c r="K22" i="18"/>
  <c r="K23" i="18" s="1"/>
  <c r="K24" i="18" s="1"/>
  <c r="F35" i="2"/>
  <c r="B8" i="2" s="1"/>
  <c r="B10" i="2" s="1"/>
  <c r="B4" i="8" s="1"/>
  <c r="B7" i="8" s="1"/>
  <c r="D19" i="19" l="1"/>
  <c r="I25" i="18"/>
  <c r="I26" i="18" s="1"/>
  <c r="I30" i="18" s="1"/>
  <c r="G25" i="18"/>
  <c r="D25" i="18"/>
  <c r="D26" i="18" s="1"/>
  <c r="D30" i="18" s="1"/>
  <c r="F25" i="18"/>
  <c r="F26" i="18" s="1"/>
  <c r="F30" i="18" s="1"/>
  <c r="H25" i="18"/>
  <c r="J25" i="18"/>
  <c r="J26" i="18" s="1"/>
  <c r="J30" i="18" s="1"/>
  <c r="E25" i="18"/>
  <c r="E26" i="18" s="1"/>
  <c r="E30" i="18" s="1"/>
  <c r="C25" i="18"/>
  <c r="C26" i="18" s="1"/>
  <c r="C30" i="18" s="1"/>
  <c r="K25" i="18"/>
  <c r="K26" i="18" s="1"/>
  <c r="L28" i="18"/>
  <c r="K29" i="18"/>
  <c r="B4" i="19"/>
  <c r="B14" i="19" s="1"/>
  <c r="B9" i="20"/>
  <c r="D9" i="20" s="1"/>
  <c r="D8" i="20" s="1"/>
  <c r="AC19" i="18"/>
  <c r="L18" i="18"/>
  <c r="M14" i="18"/>
  <c r="M15" i="18" s="1"/>
  <c r="M16" i="18" s="1"/>
  <c r="M17" i="18" s="1"/>
  <c r="L22" i="18"/>
  <c r="L23" i="18" s="1"/>
  <c r="L24" i="18" s="1"/>
  <c r="L25" i="18"/>
  <c r="G23" i="18"/>
  <c r="G24" i="18" s="1"/>
  <c r="B9" i="8"/>
  <c r="B10" i="8" s="1"/>
  <c r="K30" i="18" l="1"/>
  <c r="M28" i="18"/>
  <c r="L29" i="18"/>
  <c r="C14" i="19"/>
  <c r="C13" i="19"/>
  <c r="C7" i="19"/>
  <c r="C8" i="19"/>
  <c r="C6" i="19"/>
  <c r="AD19" i="18"/>
  <c r="AE19" i="18" s="1"/>
  <c r="M22" i="18"/>
  <c r="N14" i="18"/>
  <c r="N15" i="18" s="1"/>
  <c r="N16" i="18" s="1"/>
  <c r="N17" i="18" s="1"/>
  <c r="M18" i="18"/>
  <c r="M25" i="18"/>
  <c r="G26" i="18"/>
  <c r="G30" i="18" s="1"/>
  <c r="L26" i="18"/>
  <c r="L30" i="18" s="1"/>
  <c r="N28" i="18" l="1"/>
  <c r="M29" i="18"/>
  <c r="N22" i="18"/>
  <c r="N18" i="18"/>
  <c r="N25" i="18"/>
  <c r="O14" i="18"/>
  <c r="O15" i="18" s="1"/>
  <c r="O16" i="18" s="1"/>
  <c r="O17" i="18" s="1"/>
  <c r="M23" i="18"/>
  <c r="M24" i="18" s="1"/>
  <c r="M26" i="18" s="1"/>
  <c r="M30" i="18" s="1"/>
  <c r="H23" i="18"/>
  <c r="H24" i="18" s="1"/>
  <c r="H26" i="18" s="1"/>
  <c r="H30" i="18" s="1"/>
  <c r="O28" i="18" l="1"/>
  <c r="N29" i="18"/>
  <c r="O22" i="18"/>
  <c r="O23" i="18" s="1"/>
  <c r="O24" i="18" s="1"/>
  <c r="O25" i="18"/>
  <c r="P14" i="18"/>
  <c r="P15" i="18" s="1"/>
  <c r="P16" i="18" s="1"/>
  <c r="P17" i="18" s="1"/>
  <c r="O18" i="18"/>
  <c r="N23" i="18"/>
  <c r="N24" i="18" s="1"/>
  <c r="N26" i="18" s="1"/>
  <c r="N30" i="18" l="1"/>
  <c r="P28" i="18"/>
  <c r="O29" i="18"/>
  <c r="P22" i="18"/>
  <c r="P23" i="18" s="1"/>
  <c r="P24" i="18" s="1"/>
  <c r="P25" i="18"/>
  <c r="P18" i="18"/>
  <c r="Q14" i="18"/>
  <c r="Q15" i="18" s="1"/>
  <c r="Q16" i="18" s="1"/>
  <c r="Q17" i="18" s="1"/>
  <c r="O26" i="18"/>
  <c r="O30" i="18" s="1"/>
  <c r="P29" i="18" l="1"/>
  <c r="Q28" i="18"/>
  <c r="Q22" i="18"/>
  <c r="Q25" i="18"/>
  <c r="Q18" i="18"/>
  <c r="R14" i="18"/>
  <c r="R15" i="18" s="1"/>
  <c r="R16" i="18" s="1"/>
  <c r="R17" i="18" s="1"/>
  <c r="P26" i="18"/>
  <c r="P30" i="18" l="1"/>
  <c r="R28" i="18"/>
  <c r="Q29" i="18"/>
  <c r="R22" i="18"/>
  <c r="R25" i="18"/>
  <c r="S14" i="18"/>
  <c r="S15" i="18" s="1"/>
  <c r="S16" i="18" s="1"/>
  <c r="S17" i="18" s="1"/>
  <c r="R18" i="18"/>
  <c r="Q23" i="18"/>
  <c r="Q24" i="18" s="1"/>
  <c r="Q26" i="18" s="1"/>
  <c r="Q30" i="18" s="1"/>
  <c r="S28" i="18" l="1"/>
  <c r="R29" i="18"/>
  <c r="S25" i="18"/>
  <c r="S22" i="18"/>
  <c r="T14" i="18"/>
  <c r="T15" i="18" s="1"/>
  <c r="T16" i="18" s="1"/>
  <c r="T17" i="18" s="1"/>
  <c r="S18" i="18"/>
  <c r="R23" i="18"/>
  <c r="R24" i="18" s="1"/>
  <c r="R26" i="18" s="1"/>
  <c r="R30" i="18" s="1"/>
  <c r="S29" i="18" l="1"/>
  <c r="T28" i="18"/>
  <c r="U14" i="18"/>
  <c r="U15" i="18" s="1"/>
  <c r="U16" i="18" s="1"/>
  <c r="U17" i="18" s="1"/>
  <c r="T25" i="18"/>
  <c r="T22" i="18"/>
  <c r="T18" i="18"/>
  <c r="S23" i="18"/>
  <c r="S24" i="18" s="1"/>
  <c r="S26" i="18" s="1"/>
  <c r="S30" i="18" l="1"/>
  <c r="U28" i="18"/>
  <c r="T29" i="18"/>
  <c r="U22" i="18"/>
  <c r="V14" i="18"/>
  <c r="V15" i="18" s="1"/>
  <c r="V16" i="18" s="1"/>
  <c r="V17" i="18" s="1"/>
  <c r="U25" i="18"/>
  <c r="U18" i="18"/>
  <c r="T23" i="18"/>
  <c r="T24" i="18" s="1"/>
  <c r="T26" i="18" s="1"/>
  <c r="T30" i="18" s="1"/>
  <c r="U29" i="18" l="1"/>
  <c r="V28" i="18"/>
  <c r="W14" i="18"/>
  <c r="W15" i="18" s="1"/>
  <c r="W16" i="18" s="1"/>
  <c r="V22" i="18"/>
  <c r="V23" i="18" s="1"/>
  <c r="V24" i="18" s="1"/>
  <c r="V25" i="18"/>
  <c r="V18" i="18"/>
  <c r="U23" i="18"/>
  <c r="U24" i="18" s="1"/>
  <c r="U26" i="18" s="1"/>
  <c r="U30" i="18" s="1"/>
  <c r="W28" i="18" l="1"/>
  <c r="V29" i="18"/>
  <c r="W17" i="18"/>
  <c r="W25" i="18" s="1"/>
  <c r="V26" i="18"/>
  <c r="V30" i="18" s="1"/>
  <c r="X28" i="18" l="1"/>
  <c r="W29" i="18"/>
  <c r="X14" i="18"/>
  <c r="X15" i="18" s="1"/>
  <c r="X16" i="18" s="1"/>
  <c r="X17" i="18" s="1"/>
  <c r="Y14" i="18" s="1"/>
  <c r="Y15" i="18" s="1"/>
  <c r="Y16" i="18" s="1"/>
  <c r="W22" i="18"/>
  <c r="W23" i="18" s="1"/>
  <c r="W24" i="18" s="1"/>
  <c r="W26" i="18" s="1"/>
  <c r="W30" i="18" s="1"/>
  <c r="W18" i="18"/>
  <c r="X29" i="18" l="1"/>
  <c r="Y28" i="18"/>
  <c r="X25" i="18"/>
  <c r="X18" i="18"/>
  <c r="X22" i="18"/>
  <c r="Y17" i="18"/>
  <c r="Y25" i="18" s="1"/>
  <c r="X23" i="18"/>
  <c r="X24" i="18" s="1"/>
  <c r="Y29" i="18" l="1"/>
  <c r="Z28" i="18"/>
  <c r="X26" i="18"/>
  <c r="X30" i="18" s="1"/>
  <c r="Y18" i="18"/>
  <c r="Z14" i="18"/>
  <c r="Z15" i="18" s="1"/>
  <c r="Z16" i="18" s="1"/>
  <c r="Z17" i="18" s="1"/>
  <c r="Y22" i="18"/>
  <c r="Y23" i="18" s="1"/>
  <c r="Y24" i="18" s="1"/>
  <c r="Y26" i="18" s="1"/>
  <c r="Y30" i="18" s="1"/>
  <c r="AA28" i="18" l="1"/>
  <c r="Z29" i="18"/>
  <c r="AA14" i="18"/>
  <c r="AA15" i="18" s="1"/>
  <c r="AA16" i="18" s="1"/>
  <c r="AA17" i="18" s="1"/>
  <c r="Z22" i="18"/>
  <c r="Z23" i="18" s="1"/>
  <c r="Z24" i="18" s="1"/>
  <c r="Z25" i="18"/>
  <c r="Z18" i="18"/>
  <c r="AB28" i="18" l="1"/>
  <c r="AA29" i="18"/>
  <c r="Z26" i="18"/>
  <c r="Z30" i="18" s="1"/>
  <c r="AA22" i="18"/>
  <c r="AA23" i="18" s="1"/>
  <c r="AA24" i="18" s="1"/>
  <c r="AA25" i="18"/>
  <c r="AB14" i="18"/>
  <c r="AB15" i="18" s="1"/>
  <c r="AB16" i="18" s="1"/>
  <c r="AA18" i="18"/>
  <c r="AC28" i="18" l="1"/>
  <c r="AB29" i="18"/>
  <c r="AB17" i="18"/>
  <c r="AA26" i="18"/>
  <c r="AA30" i="18" s="1"/>
  <c r="AD28" i="18" l="1"/>
  <c r="AC29" i="18"/>
  <c r="AB22" i="18"/>
  <c r="AB23" i="18" s="1"/>
  <c r="AB24" i="18" s="1"/>
  <c r="AC14" i="18"/>
  <c r="AC15" i="18" s="1"/>
  <c r="AB25" i="18"/>
  <c r="AC16" i="18"/>
  <c r="AC17" i="18" s="1"/>
  <c r="AB18" i="18"/>
  <c r="AE28" i="18" l="1"/>
  <c r="AE29" i="18" s="1"/>
  <c r="AD29" i="18"/>
  <c r="AC22" i="18"/>
  <c r="AC25" i="18"/>
  <c r="AD14" i="18"/>
  <c r="AD15" i="18" s="1"/>
  <c r="AD16" i="18" s="1"/>
  <c r="AD17" i="18" s="1"/>
  <c r="AC18" i="18"/>
  <c r="AB26" i="18"/>
  <c r="AB30" i="18" s="1"/>
  <c r="AD22" i="18" l="1"/>
  <c r="AD23" i="18" s="1"/>
  <c r="AD24" i="18" s="1"/>
  <c r="AD25" i="18"/>
  <c r="AE14" i="18"/>
  <c r="AE15" i="18" s="1"/>
  <c r="AE16" i="18" s="1"/>
  <c r="AE17" i="18" s="1"/>
  <c r="AD18" i="18"/>
  <c r="AC23" i="18"/>
  <c r="AC24" i="18" s="1"/>
  <c r="AC26" i="18" s="1"/>
  <c r="AC30" i="18" s="1"/>
  <c r="AE22" i="18" l="1"/>
  <c r="AE18" i="18"/>
  <c r="AE25" i="18"/>
  <c r="AD26" i="18"/>
  <c r="AD30" i="18" s="1"/>
  <c r="AE23" i="18" l="1"/>
  <c r="AE24" i="18" s="1"/>
  <c r="AE26" i="18" s="1"/>
  <c r="AE30" i="18" s="1"/>
  <c r="C32" i="18" s="1"/>
  <c r="B9" i="19" l="1"/>
  <c r="B22" i="19" s="1"/>
  <c r="L31" i="18"/>
  <c r="D31" i="18"/>
  <c r="M31" i="18"/>
  <c r="E31" i="18"/>
  <c r="N31" i="18"/>
  <c r="F31" i="18"/>
  <c r="O31" i="18"/>
  <c r="G31" i="18"/>
  <c r="P31" i="18"/>
  <c r="Q31" i="18"/>
  <c r="H31" i="18"/>
  <c r="I31" i="18"/>
  <c r="J31" i="18"/>
  <c r="K31" i="18"/>
  <c r="C9" i="19"/>
  <c r="B17" i="20" l="1"/>
  <c r="D22" i="19"/>
  <c r="D23" i="19" s="1"/>
  <c r="B10" i="19" s="1"/>
  <c r="B23" i="19"/>
  <c r="C10" i="19" l="1"/>
  <c r="B11" i="19"/>
  <c r="C11" i="19" s="1"/>
  <c r="D17" i="20"/>
  <c r="D19" i="20" s="1"/>
  <c r="B19" i="20"/>
  <c r="B12" i="19" l="1"/>
  <c r="B8" i="20" s="1"/>
  <c r="C19" i="20"/>
  <c r="D21" i="20"/>
  <c r="C12" i="19" l="1"/>
  <c r="C8" i="20"/>
  <c r="C11" i="20" s="1"/>
  <c r="B21" i="20"/>
  <c r="C21" i="20" s="1"/>
</calcChain>
</file>

<file path=xl/sharedStrings.xml><?xml version="1.0" encoding="utf-8"?>
<sst xmlns="http://schemas.openxmlformats.org/spreadsheetml/2006/main" count="475" uniqueCount="345">
  <si>
    <t>Risk free rate</t>
  </si>
  <si>
    <t>Introduction</t>
  </si>
  <si>
    <t>Contact details</t>
  </si>
  <si>
    <t>Present value</t>
  </si>
  <si>
    <t>Leadenhall Corporate Advisory Pty Ltd is not be liable for any loss or damage which may be sustained by any person using or relying on this template.</t>
  </si>
  <si>
    <t>It is the user's responsibility to understand the business / asset being valued and apply the appropriate methodology, given the specific circumstances.</t>
  </si>
  <si>
    <t>Cash on settlement</t>
  </si>
  <si>
    <t>Purchase price</t>
  </si>
  <si>
    <t>Deferred payments</t>
  </si>
  <si>
    <t>Earn-out</t>
  </si>
  <si>
    <t>Other</t>
  </si>
  <si>
    <t>Total consideration</t>
  </si>
  <si>
    <t>$'000</t>
  </si>
  <si>
    <t>Summary</t>
  </si>
  <si>
    <t>Completion adjustments</t>
  </si>
  <si>
    <t>Description</t>
  </si>
  <si>
    <t>Amount</t>
  </si>
  <si>
    <t>Time</t>
  </si>
  <si>
    <t>Discount rate</t>
  </si>
  <si>
    <t>Years</t>
  </si>
  <si>
    <t>%</t>
  </si>
  <si>
    <t>Disc. rate</t>
  </si>
  <si>
    <t>Fair value</t>
  </si>
  <si>
    <t>Payment 1</t>
  </si>
  <si>
    <t>Payment 2</t>
  </si>
  <si>
    <t>Payment 3</t>
  </si>
  <si>
    <t>Payment 4</t>
  </si>
  <si>
    <t>Payment 5</t>
  </si>
  <si>
    <t>Equity</t>
  </si>
  <si>
    <t>Shares issued ('000)</t>
  </si>
  <si>
    <t>Equity consideration ($'000)</t>
  </si>
  <si>
    <t>Share price upon completion ($)</t>
  </si>
  <si>
    <t>Other consideration</t>
  </si>
  <si>
    <t>Item 1</t>
  </si>
  <si>
    <t>Item 2</t>
  </si>
  <si>
    <t>Item 3</t>
  </si>
  <si>
    <t>Item 4</t>
  </si>
  <si>
    <t>Item 5</t>
  </si>
  <si>
    <t>Scenario</t>
  </si>
  <si>
    <t>Low</t>
  </si>
  <si>
    <t>Low-mid</t>
  </si>
  <si>
    <t>Mid</t>
  </si>
  <si>
    <t>Mid-high</t>
  </si>
  <si>
    <t>High</t>
  </si>
  <si>
    <t>Prob.</t>
  </si>
  <si>
    <t>NTOA</t>
  </si>
  <si>
    <t>Surplus assets</t>
  </si>
  <si>
    <t>Net debt</t>
  </si>
  <si>
    <t>NTA</t>
  </si>
  <si>
    <t>Net tangible assets</t>
  </si>
  <si>
    <t>Property, plant and equipment</t>
  </si>
  <si>
    <t>Net working capital</t>
  </si>
  <si>
    <t>Other net tangible operating assets</t>
  </si>
  <si>
    <t>Non-operating balances</t>
  </si>
  <si>
    <t>Other non-operating liabilities</t>
  </si>
  <si>
    <t>Implied intangibles ($'000)</t>
  </si>
  <si>
    <t>Intangibles / EV</t>
  </si>
  <si>
    <t>Notes:</t>
  </si>
  <si>
    <t>Transaction costs are not included.</t>
  </si>
  <si>
    <t>Minority interests</t>
  </si>
  <si>
    <t>Has a business been acquired?</t>
  </si>
  <si>
    <t>A business is defined as:</t>
  </si>
  <si>
    <t>An integrated set of activities and assets that is capable of being conducted and managed for the purpose of providing a return in the form of dividends, lower costs or other economic benefits directly to investors or other owners, members or participants.</t>
  </si>
  <si>
    <t>These amounts are assessed at fair value.</t>
  </si>
  <si>
    <t>Need to consider carefully whether payments to vendors who remain as employees are remuneration or consideration.</t>
  </si>
  <si>
    <t>Contingent payments are measured at completion; not adjusted for actual payments with the benefit of hindsight.</t>
  </si>
  <si>
    <t>Contingent liabilities are recognised at fair value, while they may not meet recognition criteria in acquired entity.</t>
  </si>
  <si>
    <t>Non operating balances</t>
  </si>
  <si>
    <t>Implied business value</t>
  </si>
  <si>
    <t>Fair value of business</t>
  </si>
  <si>
    <t>Contents</t>
  </si>
  <si>
    <t>AASB 3 Appendix A</t>
  </si>
  <si>
    <t>Revenue</t>
  </si>
  <si>
    <t>Cost of sales</t>
  </si>
  <si>
    <t>Gross profit</t>
  </si>
  <si>
    <t>FY1</t>
  </si>
  <si>
    <t>Operating costs</t>
  </si>
  <si>
    <t>EBITDA</t>
  </si>
  <si>
    <t>Depreciation</t>
  </si>
  <si>
    <t>Tax on operating profit</t>
  </si>
  <si>
    <t>Net operating profit after tax</t>
  </si>
  <si>
    <t>EBIT</t>
  </si>
  <si>
    <t>Capital investment</t>
  </si>
  <si>
    <t>Change in working capital</t>
  </si>
  <si>
    <t>Free cash flow</t>
  </si>
  <si>
    <t>FY2</t>
  </si>
  <si>
    <t>FY3</t>
  </si>
  <si>
    <t>FY4</t>
  </si>
  <si>
    <t>FY5</t>
  </si>
  <si>
    <t>FY6</t>
  </si>
  <si>
    <t>TV</t>
  </si>
  <si>
    <t>Length of initial period (years):</t>
  </si>
  <si>
    <t>Terminal growth assumption:</t>
  </si>
  <si>
    <t>Discount factors</t>
  </si>
  <si>
    <t>Discount period</t>
  </si>
  <si>
    <t>Net present value</t>
  </si>
  <si>
    <t>Gross margin</t>
  </si>
  <si>
    <t>EBITDA margin</t>
  </si>
  <si>
    <t>EBIT margin</t>
  </si>
  <si>
    <t>Market risk premium</t>
  </si>
  <si>
    <t>Equity beta</t>
  </si>
  <si>
    <t>Size premium</t>
  </si>
  <si>
    <t>Specific risk premium</t>
  </si>
  <si>
    <t>Cost of equity</t>
  </si>
  <si>
    <t>Credit spread</t>
  </si>
  <si>
    <t>Cost of debt</t>
  </si>
  <si>
    <t>Gearing (D / EV)</t>
  </si>
  <si>
    <t>Tax rate</t>
  </si>
  <si>
    <t>Weighted average cost of capital</t>
  </si>
  <si>
    <t>Business combination?</t>
  </si>
  <si>
    <t>Background</t>
  </si>
  <si>
    <t>Entity acquired:</t>
  </si>
  <si>
    <t>Target Pty Ltd</t>
  </si>
  <si>
    <t>Acquire Limited</t>
  </si>
  <si>
    <t>Acquirer:</t>
  </si>
  <si>
    <t>Acquisition date:</t>
  </si>
  <si>
    <t>The first period should only include cash flows subsequent to the acquisition date.</t>
  </si>
  <si>
    <t>Cash flows should reflect 'market participant' assumptions (i.e. exclude buyer specific synergies).</t>
  </si>
  <si>
    <t>Once the cash flow projections are entered, the IRR is found by adjusting the discount rate to obtain an NPV equal to the enterprise value.</t>
  </si>
  <si>
    <t>Cash flows &amp; IRR</t>
  </si>
  <si>
    <t>The discount rate should be based on 'market participant' assumptions for the target.</t>
  </si>
  <si>
    <t>This is not necessarily the same as the acquirer's discount rate.</t>
  </si>
  <si>
    <t>If the discount rate is not consistent with the IRR review the cash flow projections to ensure they are reasonable.</t>
  </si>
  <si>
    <t>WACC</t>
  </si>
  <si>
    <t>IRR</t>
  </si>
  <si>
    <t>low</t>
  </si>
  <si>
    <t>high</t>
  </si>
  <si>
    <t>At this stage it is important to understand the business.</t>
  </si>
  <si>
    <t>We should only be identifying intangibles that provide a significant contribution to the cash flows.</t>
  </si>
  <si>
    <t>Consider questions such as:</t>
  </si>
  <si>
    <t>Identifying intangibles</t>
  </si>
  <si>
    <t>Potential identifiable intangible assets</t>
  </si>
  <si>
    <t>Recognition criteria</t>
  </si>
  <si>
    <t xml:space="preserve"> - are there any long term leases, or fixed price contracts which may be at a price that is not a current market price?</t>
  </si>
  <si>
    <t xml:space="preserve"> - if this asset was removed, how would it impact the business' cash flows?</t>
  </si>
  <si>
    <t xml:space="preserve"> - does this asset influence customer behaviour in terms of prices or volumes?</t>
  </si>
  <si>
    <t xml:space="preserve"> - do any specific intangible assets lead to cost savings?</t>
  </si>
  <si>
    <t xml:space="preserve"> - it is likely that future economic benefits attributable to the asset will flow to the entity?</t>
  </si>
  <si>
    <t>Analysis</t>
  </si>
  <si>
    <t>Potential IIAs considered</t>
  </si>
  <si>
    <t>Considerations</t>
  </si>
  <si>
    <t>Included</t>
  </si>
  <si>
    <t>Not expected to be material</t>
  </si>
  <si>
    <t>IIA 6</t>
  </si>
  <si>
    <t>Brandname</t>
  </si>
  <si>
    <t>Software</t>
  </si>
  <si>
    <t>Customer relationships</t>
  </si>
  <si>
    <t>PP&amp;E may need to be valued if material.</t>
  </si>
  <si>
    <r>
      <rPr>
        <sz val="11"/>
        <color rgb="FF8B634B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 Mastheads</t>
    </r>
  </si>
  <si>
    <r>
      <rPr>
        <sz val="11"/>
        <color rgb="FF8B634B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 Brandname / trademarks</t>
    </r>
  </si>
  <si>
    <r>
      <rPr>
        <sz val="11"/>
        <color rgb="FF8B634B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 Domain names</t>
    </r>
  </si>
  <si>
    <r>
      <rPr>
        <sz val="11"/>
        <color rgb="FF8B634B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 Non-compete agreements</t>
    </r>
  </si>
  <si>
    <r>
      <rPr>
        <sz val="11"/>
        <color rgb="FF8B634B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 Customer relationships</t>
    </r>
  </si>
  <si>
    <r>
      <rPr>
        <sz val="11"/>
        <color rgb="FF8B634B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 Customer database</t>
    </r>
  </si>
  <si>
    <r>
      <rPr>
        <sz val="11"/>
        <color rgb="FF8B634B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 Books, plays, music etc</t>
    </r>
  </si>
  <si>
    <r>
      <rPr>
        <sz val="11"/>
        <color rgb="FF8B634B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 Order backlog</t>
    </r>
  </si>
  <si>
    <r>
      <rPr>
        <sz val="11"/>
        <color rgb="FF8B634B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 License agreements</t>
    </r>
  </si>
  <si>
    <r>
      <rPr>
        <sz val="11"/>
        <color rgb="FF8B634B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 Leases</t>
    </r>
  </si>
  <si>
    <r>
      <rPr>
        <sz val="11"/>
        <color rgb="FF8B634B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 Permits</t>
    </r>
  </si>
  <si>
    <r>
      <rPr>
        <sz val="11"/>
        <color rgb="FF8B634B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 Franchise agreements</t>
    </r>
  </si>
  <si>
    <r>
      <rPr>
        <sz val="11"/>
        <color rgb="FF8B634B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 Usage rights</t>
    </r>
  </si>
  <si>
    <r>
      <rPr>
        <sz val="11"/>
        <color rgb="FF8B634B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 Supply agreements</t>
    </r>
  </si>
  <si>
    <r>
      <rPr>
        <sz val="11"/>
        <color rgb="FF8B634B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 Software</t>
    </r>
  </si>
  <si>
    <r>
      <rPr>
        <sz val="11"/>
        <color rgb="FF8B634B"/>
        <rFont val="Wingdings"/>
        <charset val="2"/>
      </rPr>
      <t>s</t>
    </r>
    <r>
      <rPr>
        <sz val="11"/>
        <color theme="1"/>
        <rFont val="Calibri"/>
        <family val="2"/>
        <scheme val="minor"/>
      </rPr>
      <t xml:space="preserve"> Patented technology</t>
    </r>
  </si>
  <si>
    <t>Fails recognition criteria</t>
  </si>
  <si>
    <t>Brandname - relief from royalty</t>
  </si>
  <si>
    <t>Royalty</t>
  </si>
  <si>
    <t>Admin costs</t>
  </si>
  <si>
    <t>Pre-tax net royalty</t>
  </si>
  <si>
    <t xml:space="preserve">Tax </t>
  </si>
  <si>
    <t>Net royalty after tax</t>
  </si>
  <si>
    <t>Royalty rate should be based on market transactions to the extent available.</t>
  </si>
  <si>
    <t>% EBIT cross-check</t>
  </si>
  <si>
    <t>Admin costs reflect costs of maintaining the asset.</t>
  </si>
  <si>
    <t>Discount rate should be adjusted to reflect relative risk of asset compared to business as a whole.</t>
  </si>
  <si>
    <t>As a rule of thumb, royalties are often between 25% and 33% of EBIT, although may fall outside this range depending on the importance of the asset.</t>
  </si>
  <si>
    <t>Role</t>
  </si>
  <si>
    <t>Number</t>
  </si>
  <si>
    <t>Weeks</t>
  </si>
  <si>
    <t>Product Manager</t>
  </si>
  <si>
    <t>Product Owner</t>
  </si>
  <si>
    <t>Tech Lead</t>
  </si>
  <si>
    <t>Senior engineer</t>
  </si>
  <si>
    <t>Mid Engineer</t>
  </si>
  <si>
    <t>Quality assurance</t>
  </si>
  <si>
    <t>Total</t>
  </si>
  <si>
    <t>Total estimated cost to recreate</t>
  </si>
  <si>
    <t>Software - cost to recreate</t>
  </si>
  <si>
    <t>Rate ($/hour)</t>
  </si>
  <si>
    <t>Cost ($'000)</t>
  </si>
  <si>
    <t>Total hours</t>
  </si>
  <si>
    <t>Hours / week</t>
  </si>
  <si>
    <t>Software 1</t>
  </si>
  <si>
    <t>Software 2</t>
  </si>
  <si>
    <t>Software 3</t>
  </si>
  <si>
    <t>Estimated on costs</t>
  </si>
  <si>
    <t>Estimated outsourcing margin</t>
  </si>
  <si>
    <t>Cost to recreate to should include costs based on current technology / processes, not those I place when originaly produced.</t>
  </si>
  <si>
    <t>A cross-check may be performed, for exmaple using:</t>
  </si>
  <si>
    <t xml:space="preserve"> - $ per line of code</t>
  </si>
  <si>
    <t xml:space="preserve"> - Relief from royalty</t>
  </si>
  <si>
    <t xml:space="preserve"> - Historical costs actually incurred</t>
  </si>
  <si>
    <t>Tax amortisation benefit not included as amortisation of brandnames is not allowed for taxation.</t>
  </si>
  <si>
    <t>Non-compete - incremental cashflows</t>
  </si>
  <si>
    <t>Revenue - base case</t>
  </si>
  <si>
    <t>Revenue loss ($)</t>
  </si>
  <si>
    <t>Revenue loss if competing (%)</t>
  </si>
  <si>
    <t>Margin (%)</t>
  </si>
  <si>
    <t>Margin lost ($)</t>
  </si>
  <si>
    <t>Net loss after tax if competing</t>
  </si>
  <si>
    <t>Consider difference to base case cash flows if deprived of asset</t>
  </si>
  <si>
    <t>Structure of cash flows will need modifying depending on nature of asset</t>
  </si>
  <si>
    <t>Tax amortisation benefit not included as amortisation of non-compete is not allowed for taxation.</t>
  </si>
  <si>
    <t>Workforce - cost to recreate</t>
  </si>
  <si>
    <t>Workforce needed for contributory asset charge</t>
  </si>
  <si>
    <t>Not recognised separately from goodwill</t>
  </si>
  <si>
    <t>Non-compete</t>
  </si>
  <si>
    <t>CEO</t>
  </si>
  <si>
    <t>Senior</t>
  </si>
  <si>
    <t>Mgmt</t>
  </si>
  <si>
    <t>Sales</t>
  </si>
  <si>
    <t>IT</t>
  </si>
  <si>
    <t>Ops</t>
  </si>
  <si>
    <t>Admin</t>
  </si>
  <si>
    <t>Avg annual salary</t>
  </si>
  <si>
    <t>No of employees</t>
  </si>
  <si>
    <t>% of salary</t>
  </si>
  <si>
    <t>Total salary</t>
  </si>
  <si>
    <t>Interview costs</t>
  </si>
  <si>
    <t>Direct recruitment costs</t>
  </si>
  <si>
    <t>Hourly wage</t>
  </si>
  <si>
    <t>On-costs</t>
  </si>
  <si>
    <t>Interview hours</t>
  </si>
  <si>
    <t>Per employee cost</t>
  </si>
  <si>
    <t>Total - All employees</t>
  </si>
  <si>
    <t>Training costs</t>
  </si>
  <si>
    <t>Weeks to train</t>
  </si>
  <si>
    <t>Avg weekly salary</t>
  </si>
  <si>
    <t>Total costs</t>
  </si>
  <si>
    <t>Total cost to recreate workforce</t>
  </si>
  <si>
    <t>Growth from existing customers</t>
  </si>
  <si>
    <t>Customer attrition rate</t>
  </si>
  <si>
    <t>Customer attrition</t>
  </si>
  <si>
    <t>Existing customer growth rate</t>
  </si>
  <si>
    <t>Surviving revenue from existing customers</t>
  </si>
  <si>
    <t>EBITA margin</t>
  </si>
  <si>
    <t>EBITA attributable to surviving revenue</t>
  </si>
  <si>
    <t>Tax</t>
  </si>
  <si>
    <t>Net income from surviving customers</t>
  </si>
  <si>
    <t>Contributory asset charges</t>
  </si>
  <si>
    <t>Working capital</t>
  </si>
  <si>
    <t>PPE</t>
  </si>
  <si>
    <t>Brand</t>
  </si>
  <si>
    <t>Assembled workforce</t>
  </si>
  <si>
    <t>Value</t>
  </si>
  <si>
    <t>Rate of</t>
  </si>
  <si>
    <t>Return</t>
  </si>
  <si>
    <t>$</t>
  </si>
  <si>
    <t>CAC % of</t>
  </si>
  <si>
    <t>Cash flows after tax and CAC</t>
  </si>
  <si>
    <t>CAC</t>
  </si>
  <si>
    <t>Return on working capital based on approximate tax-effected rate of return on short-term receivables/inventory funding</t>
  </si>
  <si>
    <t>Return on PPE reflecting tax-effected indicative asset leasing rates</t>
  </si>
  <si>
    <t>Contributory Assets</t>
  </si>
  <si>
    <t>Excess earnings projections</t>
  </si>
  <si>
    <t>Rate of return on brand is the post-tax royalty rate</t>
  </si>
  <si>
    <t>Rate of return on software and assembled workforce assumed based on IRR</t>
  </si>
  <si>
    <t>Customer attrition rate should be based on expected attrition going forward. Can be supported by analysis of historical churn</t>
  </si>
  <si>
    <t>Useful life equivalent to when 90% of NPV achieved.</t>
  </si>
  <si>
    <t>Customer relationships - multi period excess earnings</t>
  </si>
  <si>
    <t>Goodwill</t>
  </si>
  <si>
    <t>If goodwill is negative, then transaction represents a bargain purchase.</t>
  </si>
  <si>
    <t>Business value</t>
  </si>
  <si>
    <t>Net tangible operating assets</t>
  </si>
  <si>
    <t>Brand name</t>
  </si>
  <si>
    <t>Net assets of the business</t>
  </si>
  <si>
    <t>Deferred tax</t>
  </si>
  <si>
    <t>Refer below</t>
  </si>
  <si>
    <t>Intangible asset</t>
  </si>
  <si>
    <t>Tax base</t>
  </si>
  <si>
    <t>DT @</t>
  </si>
  <si>
    <t>Identifiable intangible assets</t>
  </si>
  <si>
    <t>Residual</t>
  </si>
  <si>
    <t>WACC and WARA</t>
  </si>
  <si>
    <t>Assets</t>
  </si>
  <si>
    <t>Return %</t>
  </si>
  <si>
    <t>Return $</t>
  </si>
  <si>
    <t>Intangible assets</t>
  </si>
  <si>
    <t>Tangible assets</t>
  </si>
  <si>
    <t>The $ return on intangibles is residual and the % return is implied based on this and the total value of intangibles</t>
  </si>
  <si>
    <t>Weighted average return on intangibles (WARI)</t>
  </si>
  <si>
    <t>WACC should be equivalent to WARA</t>
  </si>
  <si>
    <t>Workforce</t>
  </si>
  <si>
    <t>Residual return implied (return on goodwill)</t>
  </si>
  <si>
    <t>Assumed that return on other NTOA similar to return on PPE</t>
  </si>
  <si>
    <t>Return on goodwill should be higher than the return on identifiable intangible assets</t>
  </si>
  <si>
    <t>Salary cost</t>
  </si>
  <si>
    <t>Opening revenue - existing customers</t>
  </si>
  <si>
    <t>Revenue from new customers</t>
  </si>
  <si>
    <t>Total revenue</t>
  </si>
  <si>
    <t>FY7</t>
  </si>
  <si>
    <t>FY8</t>
  </si>
  <si>
    <t>FY9</t>
  </si>
  <si>
    <t>FY10</t>
  </si>
  <si>
    <t>FY11</t>
  </si>
  <si>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</si>
  <si>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</si>
  <si>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</si>
  <si>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</si>
  <si>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</si>
  <si>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</si>
  <si>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</si>
  <si>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</si>
  <si>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</si>
  <si>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Pert-period adjustment</t>
  </si>
  <si>
    <t>Post valuation date cash flow</t>
  </si>
  <si>
    <t>FY21</t>
  </si>
  <si>
    <t>FY22</t>
  </si>
  <si>
    <t>FY23</t>
  </si>
  <si>
    <t>FY24</t>
  </si>
  <si>
    <t>FY25</t>
  </si>
  <si>
    <t>FY26</t>
  </si>
  <si>
    <t>FY27</t>
  </si>
  <si>
    <t>FY28</t>
  </si>
  <si>
    <t>FY29</t>
  </si>
  <si>
    <t>Fair value of inventory may exceed book value.</t>
  </si>
  <si>
    <t>Any tax deductible amortisation should included in the depreciation lines.</t>
  </si>
  <si>
    <t>IIA 7</t>
  </si>
  <si>
    <t>No marketability discount is to be taken on shares issued with an escrow period.</t>
  </si>
  <si>
    <t>Discount rate for committed deferred payments should reflect a cost of debt to the acquirer.</t>
  </si>
  <si>
    <t>Earn-out discount to reflect riskiness of earn-out (e.g. may be lower if earn-out based on revenue than based on net profit)</t>
  </si>
  <si>
    <t>Premium to WACC:</t>
  </si>
  <si>
    <t>Key assumptions</t>
  </si>
  <si>
    <t>Premium</t>
  </si>
  <si>
    <t>N/a</t>
  </si>
  <si>
    <t xml:space="preserve"> - do any specific intangible assets create barriers to entry?</t>
  </si>
  <si>
    <t>To be recognised as an intangible asset the following must be met:</t>
  </si>
  <si>
    <t xml:space="preserve"> - the asset is either separable from the business, or contractual?</t>
  </si>
  <si>
    <t>For PPA or general business valuation advice please call your Leadenhall contact:</t>
  </si>
  <si>
    <t>http://www.leadenhall.com.au/leadenhall-team/</t>
  </si>
  <si>
    <t>This simplified template has been developed to assist in the review and preparation of purchase price allocations ("PPA").</t>
  </si>
  <si>
    <t>FY0</t>
  </si>
  <si>
    <t>Working Capital</t>
  </si>
  <si>
    <t>Revenue growth</t>
  </si>
  <si>
    <t>Implied Y1 EBIT multiple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</si>
</sst>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0.0"/>
    <numFmt numFmtId="167" formatCode="_-* #,##0_-;\-* #,##0_-;_-* &quot;-&quot;??_-;_-@_-"/>
    <numFmt numFmtId="168" formatCode="_-* #,##0_-;* \(#,##0\)_-;_-* &quot;-&quot;??_-;_-@_-"/>
    <numFmt numFmtId="169" formatCode="0."/>
    <numFmt numFmtId="170" formatCode="0.000"/>
    <numFmt numFmtId="171" formatCode="&quot;Estimated on-costs at &quot;0%"/>
    <numFmt numFmtId="172" formatCode="&quot;Estimated cost of outsourcing at a margin of &quot;0%"/>
    <numFmt numFmtId="173" formatCode="_-* #,##0.00_-;* \(#,##0.00\)_-;_-* &quot;-&quot;??_-;_-@_-"/>
    <numFmt numFmtId="174" formatCode="_-* #,##0.000_-;* \(#,##0.000\)_-;_-* &quot;-&quot;??_-;_-@_-"/>
    <numFmt numFmtId="175" formatCode="_-* #,##0.0_-;* \(#,##0.0\)_-;_-* &quot;-&quot;??_-;_-@_-"/>
    <numFmt numFmtId="176" formatCode="_-* #,##0.0_-;\-* #,##0.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02F6C"/>
      <name val="Calibri"/>
      <family val="2"/>
      <scheme val="minor"/>
    </font>
    <font>
      <sz val="11"/>
      <color rgb="FF002F6C"/>
      <name val="Calibri"/>
      <family val="2"/>
      <scheme val="minor"/>
    </font>
    <font>
      <sz val="11"/>
      <color rgb="FF8B634B"/>
      <name val="Calibri"/>
      <family val="2"/>
      <scheme val="minor"/>
    </font>
    <font>
      <b/>
      <sz val="13"/>
      <color rgb="FF8B634B"/>
      <name val="Calibri"/>
      <family val="2"/>
      <scheme val="minor"/>
    </font>
    <font>
      <sz val="11"/>
      <color theme="1"/>
      <name val="Calibri"/>
      <family val="2"/>
      <charset val="2"/>
      <scheme val="minor"/>
    </font>
    <font>
      <sz val="11"/>
      <color rgb="FF8B634B"/>
      <name val="Wingdings"/>
      <charset val="2"/>
    </font>
    <font>
      <b/>
      <sz val="9"/>
      <color theme="0"/>
      <name val="Helvetica"/>
      <family val="2"/>
    </font>
    <font>
      <b/>
      <sz val="9"/>
      <color rgb="FF12305B"/>
      <name val="Helvetica"/>
      <family val="2"/>
    </font>
    <font>
      <sz val="9"/>
      <name val="Helvetica"/>
      <family val="2"/>
    </font>
    <font>
      <b/>
      <sz val="9"/>
      <color theme="1"/>
      <name val="Helvetica"/>
      <family val="2"/>
    </font>
    <font>
      <sz val="9"/>
      <color theme="1"/>
      <name val="Helvetica"/>
      <family val="2"/>
    </font>
    <font>
      <sz val="9"/>
      <color rgb="FFFF0000"/>
      <name val="Helvetica"/>
      <family val="2"/>
    </font>
    <font>
      <b/>
      <i/>
      <sz val="11"/>
      <color theme="1"/>
      <name val="Calibri"/>
      <family val="2"/>
      <scheme val="minor"/>
    </font>
    <font>
      <i/>
      <sz val="11"/>
      <color rgb="FF002F6C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8B634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7FF"/>
        <bgColor indexed="64"/>
      </patternFill>
    </fill>
  </fills>
  <borders count="21">
    <border>
      <left/>
      <right/>
      <top/>
      <bottom/>
      <diagonal/>
    </border>
    <border>
      <left style="dotted">
        <color theme="3"/>
      </left>
      <right style="dotted">
        <color theme="3"/>
      </right>
      <top style="dotted">
        <color theme="3"/>
      </top>
      <bottom style="dotted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theme="3"/>
      </left>
      <right style="dotted">
        <color theme="3"/>
      </right>
      <top style="dotted">
        <color theme="3"/>
      </top>
      <bottom style="thin">
        <color indexed="64"/>
      </bottom>
      <diagonal/>
    </border>
    <border>
      <left style="dotted">
        <color theme="3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rgb="FF002F6C"/>
      </left>
      <right style="dotted">
        <color rgb="FF002F6C"/>
      </right>
      <top style="dotted">
        <color rgb="FF002F6C"/>
      </top>
      <bottom style="dotted">
        <color rgb="FF002F6C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rgb="FF002F6C"/>
      </left>
      <right style="dotted">
        <color rgb="FF002F6C"/>
      </right>
      <top style="dotted">
        <color rgb="FF002F6C"/>
      </top>
      <bottom style="thin">
        <color indexed="64"/>
      </bottom>
      <diagonal/>
    </border>
    <border>
      <left/>
      <right/>
      <top style="dotted">
        <color rgb="FF002F6C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7" fillId="2" borderId="16" applyNumberFormat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Alignment="0" applyProtection="0"/>
    <xf numFmtId="0" fontId="9" fillId="0" borderId="0" applyNumberFormat="0" applyFill="0" applyAlignment="0" applyProtection="0"/>
  </cellStyleXfs>
  <cellXfs count="128">
    <xf numFmtId="0" fontId="0" fillId="0" borderId="0" xfId="0"/>
    <xf numFmtId="0" fontId="3" fillId="0" borderId="0" xfId="0" applyFont="1"/>
    <xf numFmtId="0" fontId="7" fillId="2" borderId="16" xfId="2"/>
    <xf numFmtId="14" fontId="7" fillId="2" borderId="16" xfId="2" applyNumberFormat="1" applyAlignment="1">
      <alignment horizontal="left"/>
    </xf>
    <xf numFmtId="166" fontId="7" fillId="2" borderId="16" xfId="2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9" fillId="0" borderId="0" xfId="9"/>
    <xf numFmtId="167" fontId="2" fillId="2" borderId="1" xfId="4" applyNumberFormat="1" applyFont="1" applyFill="1" applyBorder="1"/>
    <xf numFmtId="167" fontId="0" fillId="0" borderId="0" xfId="0" applyNumberFormat="1"/>
    <xf numFmtId="167" fontId="0" fillId="0" borderId="0" xfId="4" applyNumberFormat="1" applyFont="1"/>
    <xf numFmtId="167" fontId="0" fillId="0" borderId="2" xfId="4" applyNumberFormat="1" applyFont="1" applyBorder="1"/>
    <xf numFmtId="167" fontId="7" fillId="2" borderId="16" xfId="2" applyNumberFormat="1"/>
    <xf numFmtId="10" fontId="0" fillId="0" borderId="0" xfId="0" applyNumberFormat="1"/>
    <xf numFmtId="165" fontId="0" fillId="0" borderId="0" xfId="0" applyNumberFormat="1"/>
    <xf numFmtId="165" fontId="7" fillId="2" borderId="16" xfId="2" applyNumberFormat="1"/>
    <xf numFmtId="167" fontId="3" fillId="0" borderId="3" xfId="4" applyNumberFormat="1" applyFont="1" applyBorder="1"/>
    <xf numFmtId="0" fontId="6" fillId="0" borderId="0" xfId="8"/>
    <xf numFmtId="43" fontId="7" fillId="2" borderId="16" xfId="2" applyNumberFormat="1"/>
    <xf numFmtId="9" fontId="7" fillId="2" borderId="16" xfId="2" applyNumberFormat="1"/>
    <xf numFmtId="9" fontId="0" fillId="0" borderId="0" xfId="0" applyNumberFormat="1"/>
    <xf numFmtId="9" fontId="3" fillId="0" borderId="0" xfId="1" applyFont="1"/>
    <xf numFmtId="0" fontId="3" fillId="3" borderId="0" xfId="0" applyFont="1" applyFill="1"/>
    <xf numFmtId="0" fontId="0" fillId="3" borderId="0" xfId="0" applyFill="1"/>
    <xf numFmtId="168" fontId="2" fillId="2" borderId="1" xfId="4" applyNumberFormat="1" applyFont="1" applyFill="1" applyBorder="1"/>
    <xf numFmtId="168" fontId="3" fillId="0" borderId="3" xfId="0" applyNumberFormat="1" applyFont="1" applyBorder="1"/>
    <xf numFmtId="168" fontId="7" fillId="2" borderId="16" xfId="2" applyNumberFormat="1"/>
    <xf numFmtId="167" fontId="3" fillId="0" borderId="4" xfId="0" applyNumberFormat="1" applyFont="1" applyBorder="1"/>
    <xf numFmtId="0" fontId="5" fillId="0" borderId="0" xfId="0" applyFont="1"/>
    <xf numFmtId="167" fontId="5" fillId="0" borderId="0" xfId="0" applyNumberFormat="1" applyFont="1"/>
    <xf numFmtId="168" fontId="0" fillId="0" borderId="0" xfId="0" applyNumberFormat="1"/>
    <xf numFmtId="9" fontId="5" fillId="0" borderId="0" xfId="1" applyFont="1"/>
    <xf numFmtId="0" fontId="5" fillId="3" borderId="0" xfId="0" applyFont="1" applyFill="1" applyAlignment="1">
      <alignment horizontal="right"/>
    </xf>
    <xf numFmtId="168" fontId="2" fillId="2" borderId="13" xfId="4" applyNumberFormat="1" applyFont="1" applyFill="1" applyBorder="1"/>
    <xf numFmtId="168" fontId="0" fillId="0" borderId="14" xfId="0" applyNumberFormat="1" applyBorder="1"/>
    <xf numFmtId="168" fontId="0" fillId="0" borderId="2" xfId="0" applyNumberFormat="1" applyBorder="1"/>
    <xf numFmtId="2" fontId="0" fillId="0" borderId="0" xfId="0" applyNumberFormat="1"/>
    <xf numFmtId="170" fontId="0" fillId="0" borderId="0" xfId="0" applyNumberFormat="1"/>
    <xf numFmtId="167" fontId="3" fillId="0" borderId="3" xfId="0" applyNumberFormat="1" applyFont="1" applyBorder="1"/>
    <xf numFmtId="167" fontId="0" fillId="0" borderId="3" xfId="0" applyNumberFormat="1" applyBorder="1"/>
    <xf numFmtId="167" fontId="3" fillId="0" borderId="15" xfId="0" applyNumberFormat="1" applyFont="1" applyBorder="1"/>
    <xf numFmtId="165" fontId="2" fillId="2" borderId="1" xfId="1" applyNumberFormat="1" applyFont="1" applyFill="1" applyBorder="1" applyAlignment="1">
      <alignment horizontal="right"/>
    </xf>
    <xf numFmtId="165" fontId="3" fillId="0" borderId="0" xfId="0" applyNumberFormat="1" applyFont="1"/>
    <xf numFmtId="165" fontId="3" fillId="0" borderId="0" xfId="1" applyNumberFormat="1" applyFont="1"/>
    <xf numFmtId="0" fontId="6" fillId="0" borderId="0" xfId="8" applyAlignment="1"/>
    <xf numFmtId="169" fontId="8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/>
    </xf>
    <xf numFmtId="0" fontId="3" fillId="4" borderId="5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0" xfId="0" applyFill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3" fillId="4" borderId="6" xfId="0" applyFont="1" applyFill="1" applyBorder="1"/>
    <xf numFmtId="0" fontId="3" fillId="4" borderId="0" xfId="0" applyFont="1" applyFill="1"/>
    <xf numFmtId="167" fontId="0" fillId="3" borderId="0" xfId="4" applyNumberFormat="1" applyFont="1" applyFill="1"/>
    <xf numFmtId="9" fontId="1" fillId="0" borderId="0" xfId="1" applyFont="1"/>
    <xf numFmtId="165" fontId="5" fillId="0" borderId="0" xfId="1" applyNumberFormat="1" applyFont="1"/>
    <xf numFmtId="0" fontId="6" fillId="3" borderId="0" xfId="8" applyFill="1"/>
    <xf numFmtId="0" fontId="13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horizontal="center" vertical="top" wrapText="1"/>
    </xf>
    <xf numFmtId="0" fontId="15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37" fontId="1" fillId="3" borderId="0" xfId="4" applyNumberFormat="1" applyFill="1" applyAlignment="1">
      <alignment horizontal="right" vertical="top"/>
    </xf>
    <xf numFmtId="37" fontId="1" fillId="3" borderId="0" xfId="4" applyNumberFormat="1" applyFill="1" applyAlignment="1">
      <alignment horizontal="center" vertical="top"/>
    </xf>
    <xf numFmtId="0" fontId="16" fillId="3" borderId="0" xfId="0" applyFont="1" applyFill="1"/>
    <xf numFmtId="37" fontId="15" fillId="3" borderId="0" xfId="4" applyNumberFormat="1" applyFont="1" applyFill="1" applyAlignment="1">
      <alignment horizontal="right" vertical="top"/>
    </xf>
    <xf numFmtId="0" fontId="17" fillId="3" borderId="0" xfId="0" applyFont="1" applyFill="1" applyAlignment="1">
      <alignment vertical="top"/>
    </xf>
    <xf numFmtId="37" fontId="15" fillId="3" borderId="0" xfId="0" applyNumberFormat="1" applyFont="1" applyFill="1" applyAlignment="1">
      <alignment vertical="top"/>
    </xf>
    <xf numFmtId="0" fontId="16" fillId="3" borderId="0" xfId="0" applyFont="1" applyFill="1" applyAlignment="1">
      <alignment vertical="top" wrapText="1"/>
    </xf>
    <xf numFmtId="172" fontId="0" fillId="3" borderId="0" xfId="0" applyNumberFormat="1" applyFill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2" borderId="16" xfId="2" applyAlignment="1">
      <alignment horizontal="left" vertical="top"/>
    </xf>
    <xf numFmtId="0" fontId="12" fillId="3" borderId="0" xfId="0" applyFont="1" applyFill="1" applyAlignment="1">
      <alignment vertical="center" wrapText="1"/>
    </xf>
    <xf numFmtId="37" fontId="7" fillId="2" borderId="16" xfId="2" applyNumberFormat="1" applyAlignment="1">
      <alignment horizontal="center" vertical="top"/>
    </xf>
    <xf numFmtId="0" fontId="7" fillId="2" borderId="16" xfId="2" applyAlignment="1">
      <alignment horizontal="center" vertical="top" wrapText="1"/>
    </xf>
    <xf numFmtId="167" fontId="7" fillId="2" borderId="16" xfId="2" applyNumberFormat="1" applyAlignment="1">
      <alignment horizontal="center" vertical="top"/>
    </xf>
    <xf numFmtId="167" fontId="3" fillId="3" borderId="3" xfId="4" applyNumberFormat="1" applyFont="1" applyFill="1" applyBorder="1"/>
    <xf numFmtId="171" fontId="0" fillId="3" borderId="0" xfId="0" applyNumberFormat="1" applyFill="1" applyAlignment="1">
      <alignment vertical="top"/>
    </xf>
    <xf numFmtId="37" fontId="15" fillId="3" borderId="17" xfId="4" applyNumberFormat="1" applyFont="1" applyFill="1" applyBorder="1" applyAlignment="1">
      <alignment horizontal="right" vertical="top"/>
    </xf>
    <xf numFmtId="0" fontId="18" fillId="0" borderId="0" xfId="0" applyFont="1" applyAlignment="1">
      <alignment horizontal="left"/>
    </xf>
    <xf numFmtId="0" fontId="5" fillId="3" borderId="0" xfId="0" applyFont="1" applyFill="1"/>
    <xf numFmtId="9" fontId="19" fillId="2" borderId="16" xfId="2" applyNumberFormat="1" applyFont="1"/>
    <xf numFmtId="167" fontId="3" fillId="3" borderId="0" xfId="4" applyNumberFormat="1" applyFont="1" applyFill="1"/>
    <xf numFmtId="167" fontId="7" fillId="2" borderId="18" xfId="2" applyNumberFormat="1" applyBorder="1"/>
    <xf numFmtId="9" fontId="2" fillId="2" borderId="1" xfId="1" applyFont="1" applyFill="1" applyBorder="1" applyAlignment="1">
      <alignment horizontal="right"/>
    </xf>
    <xf numFmtId="9" fontId="2" fillId="2" borderId="13" xfId="1" applyFont="1" applyFill="1" applyBorder="1" applyAlignment="1">
      <alignment horizontal="right"/>
    </xf>
    <xf numFmtId="167" fontId="0" fillId="3" borderId="19" xfId="4" applyNumberFormat="1" applyFont="1" applyFill="1" applyBorder="1"/>
    <xf numFmtId="167" fontId="0" fillId="3" borderId="2" xfId="4" applyNumberFormat="1" applyFont="1" applyFill="1" applyBorder="1"/>
    <xf numFmtId="168" fontId="0" fillId="3" borderId="0" xfId="4" applyNumberFormat="1" applyFont="1" applyFill="1"/>
    <xf numFmtId="168" fontId="0" fillId="3" borderId="2" xfId="4" applyNumberFormat="1" applyFont="1" applyFill="1" applyBorder="1"/>
    <xf numFmtId="168" fontId="1" fillId="3" borderId="0" xfId="4" applyNumberFormat="1" applyFont="1" applyFill="1"/>
    <xf numFmtId="168" fontId="0" fillId="3" borderId="0" xfId="4" applyNumberFormat="1" applyFont="1" applyFill="1" applyBorder="1"/>
    <xf numFmtId="167" fontId="3" fillId="0" borderId="0" xfId="0" applyNumberFormat="1" applyFont="1"/>
    <xf numFmtId="0" fontId="0" fillId="0" borderId="0" xfId="0" quotePrefix="1"/>
    <xf numFmtId="165" fontId="0" fillId="0" borderId="2" xfId="0" applyNumberFormat="1" applyBorder="1"/>
    <xf numFmtId="165" fontId="3" fillId="0" borderId="3" xfId="0" applyNumberFormat="1" applyFont="1" applyBorder="1"/>
    <xf numFmtId="9" fontId="0" fillId="0" borderId="2" xfId="0" applyNumberFormat="1" applyBorder="1"/>
    <xf numFmtId="9" fontId="7" fillId="2" borderId="18" xfId="2" applyNumberFormat="1" applyBorder="1"/>
    <xf numFmtId="173" fontId="0" fillId="3" borderId="0" xfId="4" applyNumberFormat="1" applyFont="1" applyFill="1"/>
    <xf numFmtId="174" fontId="0" fillId="3" borderId="2" xfId="4" applyNumberFormat="1" applyFont="1" applyFill="1" applyBorder="1"/>
    <xf numFmtId="168" fontId="0" fillId="3" borderId="3" xfId="4" applyNumberFormat="1" applyFont="1" applyFill="1" applyBorder="1"/>
    <xf numFmtId="167" fontId="1" fillId="0" borderId="0" xfId="4" applyNumberFormat="1" applyFont="1" applyBorder="1"/>
    <xf numFmtId="168" fontId="3" fillId="3" borderId="0" xfId="4" applyNumberFormat="1" applyFont="1" applyFill="1" applyBorder="1"/>
    <xf numFmtId="9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5" fontId="7" fillId="2" borderId="18" xfId="2" applyNumberFormat="1" applyBorder="1"/>
    <xf numFmtId="167" fontId="0" fillId="0" borderId="2" xfId="0" applyNumberFormat="1" applyBorder="1"/>
    <xf numFmtId="0" fontId="20" fillId="0" borderId="0" xfId="3" applyFont="1"/>
    <xf numFmtId="167" fontId="0" fillId="3" borderId="3" xfId="4" applyNumberFormat="1" applyFont="1" applyFill="1" applyBorder="1"/>
    <xf numFmtId="167" fontId="3" fillId="0" borderId="20" xfId="0" applyNumberFormat="1" applyFont="1" applyBorder="1"/>
    <xf numFmtId="165" fontId="1" fillId="0" borderId="0" xfId="1" applyNumberFormat="1" applyFont="1"/>
    <xf numFmtId="0" fontId="3" fillId="0" borderId="0" xfId="0" applyFont="1" applyAlignment="1">
      <alignment horizontal="left" indent="1"/>
    </xf>
    <xf numFmtId="0" fontId="0" fillId="0" borderId="0" xfId="0" applyAlignment="1">
      <alignment horizontal="right"/>
    </xf>
    <xf numFmtId="175" fontId="0" fillId="0" borderId="2" xfId="0" applyNumberFormat="1" applyBorder="1"/>
    <xf numFmtId="0" fontId="21" fillId="0" borderId="0" xfId="9" applyFont="1"/>
    <xf numFmtId="176" fontId="5" fillId="0" borderId="0" xfId="0" applyNumberFormat="1" applyFont="1"/>
    <xf numFmtId="9" fontId="0" fillId="3" borderId="0" xfId="1" applyFont="1" applyFill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72" fontId="0" fillId="3" borderId="0" xfId="0" applyNumberFormat="1" applyFill="1" applyAlignment="1">
      <alignment horizontal="left" vertical="top"/>
    </xf>
    <xf numFmtId="0" fontId="13" fillId="3" borderId="0" xfId="0" applyFont="1" applyFill="1" applyAlignment="1">
      <alignment horizontal="left" vertical="center" wrapText="1"/>
    </xf>
  </cellXfs>
  <cellStyles count="10">
    <cellStyle name="Comma" xfId="4" builtinId="3"/>
    <cellStyle name="Comma 2" xfId="6" xr:uid="{00000000-0005-0000-0000-000003000000}"/>
    <cellStyle name="Heading 1" xfId="8" builtinId="16" customBuiltin="1"/>
    <cellStyle name="Heading 2" xfId="9" builtinId="17" customBuiltin="1"/>
    <cellStyle name="Hyperlink" xfId="3" builtinId="8"/>
    <cellStyle name="Input" xfId="2" builtinId="20" customBuiltin="1"/>
    <cellStyle name="Normal" xfId="0" builtinId="0"/>
    <cellStyle name="Normal 3" xfId="5" xr:uid="{00000000-0005-0000-0000-000007000000}"/>
    <cellStyle name="Percent" xfId="1" builtinId="5"/>
    <cellStyle name="Percent 2" xfId="7" xr:uid="{00000000-0005-0000-0000-000009000000}"/>
  </cellStyles>
  <dxfs count="0"/>
  <tableStyles count="0" defaultTableStyle="TableStyleMedium2" defaultPivotStyle="PivotStyleLight16"/>
  <colors>
    <mruColors>
      <color rgb="FF002F6C"/>
      <color rgb="FFEDF7FF"/>
      <color rgb="FF8B6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AU" sz="1100" b="1">
                <a:solidFill>
                  <a:srgbClr val="002060"/>
                </a:solidFill>
              </a:rPr>
              <a:t>WACC &amp; IRR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'Discount rate'!$B$17</c:f>
              <c:strCache>
                <c:ptCount val="1"/>
                <c:pt idx="0">
                  <c:v>low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'Discount rate'!$A$18:$A$19</c:f>
              <c:strCache>
                <c:ptCount val="2"/>
                <c:pt idx="0">
                  <c:v>WACC</c:v>
                </c:pt>
                <c:pt idx="1">
                  <c:v>IRR</c:v>
                </c:pt>
              </c:strCache>
            </c:strRef>
          </c:cat>
          <c:val>
            <c:numRef>
              <c:f>'Discount rate'!$B$18:$B$19</c:f>
              <c:numCache>
                <c:formatCode>0.0%</c:formatCode>
                <c:ptCount val="2"/>
                <c:pt idx="0">
                  <c:v>9.3375000000000014E-2</c:v>
                </c:pt>
                <c:pt idx="1">
                  <c:v>9.8244999999999999E-2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9-4558-BD20-1F9C88CC2486}"/>
            </c:ext>
          </c:extLst>
        </c:ser>
        <c:ser>
          <c:idx val="1"/>
          <c:order val="1"/>
          <c:tx>
            <c:strRef>
              <c:f>'Discount rate'!$C$17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8B634B"/>
            </a:solidFill>
            <a:ln>
              <a:noFill/>
            </a:ln>
            <a:effectLst/>
          </c:spPr>
          <c:invertIfNegative val="0"/>
          <c:cat>
            <c:strRef>
              <c:f>'Discount rate'!$A$18:$A$19</c:f>
              <c:strCache>
                <c:ptCount val="2"/>
                <c:pt idx="0">
                  <c:v>WACC</c:v>
                </c:pt>
                <c:pt idx="1">
                  <c:v>IRR</c:v>
                </c:pt>
              </c:strCache>
            </c:strRef>
          </c:cat>
          <c:val>
            <c:numRef>
              <c:f>'Discount rate'!$C$18:$C$19</c:f>
              <c:numCache>
                <c:formatCode>0.00%</c:formatCode>
                <c:ptCount val="2"/>
                <c:pt idx="0" formatCode="0.0%">
                  <c:v>2.1824999999999997E-2</c:v>
                </c:pt>
                <c:pt idx="1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9-4558-BD20-1F9C88CC2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8874096"/>
        <c:axId val="758869504"/>
      </c:barChart>
      <c:catAx>
        <c:axId val="75887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869504"/>
        <c:crosses val="autoZero"/>
        <c:auto val="1"/>
        <c:lblAlgn val="ctr"/>
        <c:lblOffset val="100"/>
        <c:noMultiLvlLbl val="0"/>
      </c:catAx>
      <c:valAx>
        <c:axId val="758869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8874096"/>
        <c:crosses val="autoZero"/>
        <c:crossBetween val="between"/>
      </c:valAx>
      <c:spPr>
        <a:noFill/>
        <a:ln>
          <a:solidFill>
            <a:srgbClr val="00206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DF7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2161032</xdr:colOff>
      <xdr:row>13</xdr:row>
      <xdr:rowOff>44196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67BC6F-73E2-45ED-9238-3851C9853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09875"/>
          <a:ext cx="2161032" cy="615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15</xdr:row>
      <xdr:rowOff>180975</xdr:rowOff>
    </xdr:from>
    <xdr:to>
      <xdr:col>2</xdr:col>
      <xdr:colOff>604838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B76CCA-EADD-48C2-B1E4-89CD02AE61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adenhall.com.au/leadenhall-team/" TargetMode="Externa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showGridLines="0" tabSelected="1" workbookViewId="0">
      <selection activeCell="A15" sqref="A15"/>
    </sheetView>
  </sheetViews>
  <sheetFormatPr defaultColWidth="0" defaultRowHeight="14.5" zeroHeight="1"/>
  <cols>
    <col min="1" max="1" width="139" customWidth="1"/>
    <col min="2" max="2" width="10.7265625" hidden="1" customWidth="1"/>
    <col min="3" max="16384" width="9.1796875" hidden="1"/>
  </cols>
  <sheetData>
    <row r="1" spans="1:1" ht="21">
      <c r="A1" s="17" t="s">
        <v>1</v>
      </c>
    </row>
    <row r="2" spans="1:1">
      <c r="A2" t="s">
        <v>340</v>
      </c>
    </row>
    <row r="3" spans="1:1">
      <c r="A3" t="s">
        <v>5</v>
      </c>
    </row>
    <row r="4" spans="1:1">
      <c r="A4" t="s">
        <v>4</v>
      </c>
    </row>
    <row r="5" spans="1:1"/>
    <row r="6" spans="1:1" ht="17">
      <c r="A6" s="7" t="s">
        <v>2</v>
      </c>
    </row>
    <row r="7" spans="1:1">
      <c r="A7" t="s">
        <v>338</v>
      </c>
    </row>
    <row r="8" spans="1:1">
      <c r="A8" s="1"/>
    </row>
    <row r="9" spans="1:1">
      <c r="A9" s="121" t="s">
        <v>339</v>
      </c>
    </row>
    <row r="10" spans="1:1"/>
    <row r="11" spans="1:1"/>
    <row r="12" spans="1:1"/>
    <row r="13" spans="1:1"/>
    <row r="14" spans="1:1"/>
    <row r="15" spans="1:1"/>
  </sheetData>
  <hyperlinks>
    <hyperlink ref="A9" r:id="rId1" xr:uid="{A68BFB83-66B0-4E9D-9950-48FD774E24A8}"/>
  </hyperlinks>
  <pageMargins left="0.7" right="0.7" top="0.75" bottom="0.75" header="0.3" footer="0.3"/>
  <pageSetup paperSize="9" orientation="landscape" r:id="rId2"/>
  <headerFooter>
    <oddHeader>&amp;R&amp;G</oddHeader>
    <oddFooter>&amp;R&amp;9Page &amp;P of &amp;N</oddFoot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9E679-86DA-426B-85FD-8DFA7741F6EC}">
  <dimension ref="A1:Y19"/>
  <sheetViews>
    <sheetView showGridLines="0" zoomScaleNormal="100" workbookViewId="0">
      <selection activeCell="L15" sqref="L15"/>
    </sheetView>
  </sheetViews>
  <sheetFormatPr defaultRowHeight="14.5"/>
  <cols>
    <col min="1" max="1" width="32.81640625" bestFit="1" customWidth="1"/>
    <col min="2" max="2" width="6.1796875" bestFit="1" customWidth="1"/>
    <col min="3" max="3" width="9.1796875" customWidth="1"/>
    <col min="10" max="10" width="2.7265625" customWidth="1"/>
  </cols>
  <sheetData>
    <row r="1" spans="1:25" ht="21">
      <c r="A1" s="17" t="s">
        <v>165</v>
      </c>
      <c r="B1" s="17"/>
    </row>
    <row r="2" spans="1:25" ht="15" thickBot="1"/>
    <row r="3" spans="1:25">
      <c r="A3" t="s">
        <v>331</v>
      </c>
      <c r="B3" s="15">
        <v>0.01</v>
      </c>
      <c r="K3" s="48" t="s">
        <v>57</v>
      </c>
      <c r="L3" s="57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</row>
    <row r="4" spans="1:25">
      <c r="K4" s="51" t="s">
        <v>171</v>
      </c>
      <c r="L4" s="58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</row>
    <row r="5" spans="1:25">
      <c r="A5" s="5" t="s">
        <v>12</v>
      </c>
      <c r="B5" s="5"/>
      <c r="C5" s="6" t="s">
        <v>75</v>
      </c>
      <c r="D5" s="6" t="s">
        <v>85</v>
      </c>
      <c r="E5" s="6" t="s">
        <v>86</v>
      </c>
      <c r="F5" s="6" t="s">
        <v>87</v>
      </c>
      <c r="G5" s="6" t="s">
        <v>88</v>
      </c>
      <c r="H5" s="6" t="s">
        <v>89</v>
      </c>
      <c r="I5" s="6" t="s">
        <v>90</v>
      </c>
      <c r="K5" s="51" t="s">
        <v>173</v>
      </c>
      <c r="L5" s="58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</row>
    <row r="6" spans="1:25">
      <c r="A6" s="23" t="s">
        <v>72</v>
      </c>
      <c r="B6" s="19">
        <v>1</v>
      </c>
      <c r="C6" s="59">
        <f>'Cash flows'!D7*$B6*'Cash flows'!D20</f>
        <v>13500</v>
      </c>
      <c r="D6" s="59">
        <f>'Cash flows'!E7*$B6</f>
        <v>30000</v>
      </c>
      <c r="E6" s="59">
        <f>'Cash flows'!F7*$B6</f>
        <v>33000</v>
      </c>
      <c r="F6" s="59">
        <f>'Cash flows'!G7*$B6</f>
        <v>34500</v>
      </c>
      <c r="G6" s="59">
        <f>'Cash flows'!H7*$B6</f>
        <v>36000</v>
      </c>
      <c r="H6" s="59">
        <f>'Cash flows'!I7*$B6</f>
        <v>37500</v>
      </c>
      <c r="K6" s="51" t="s">
        <v>174</v>
      </c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>
      <c r="A7" s="23"/>
      <c r="B7" s="23"/>
      <c r="C7" s="59"/>
      <c r="D7" s="59"/>
      <c r="E7" s="59"/>
      <c r="F7" s="59"/>
      <c r="G7" s="59"/>
      <c r="H7" s="59"/>
      <c r="K7" s="51" t="s">
        <v>175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8" spans="1:25">
      <c r="A8" t="s">
        <v>166</v>
      </c>
      <c r="B8" s="15">
        <v>0.1</v>
      </c>
      <c r="C8" s="9">
        <f>C6*$B8</f>
        <v>1350</v>
      </c>
      <c r="D8" s="9">
        <f t="shared" ref="D8:H8" si="0">D6*$B8</f>
        <v>3000</v>
      </c>
      <c r="E8" s="9">
        <f t="shared" si="0"/>
        <v>3300</v>
      </c>
      <c r="F8" s="9">
        <f t="shared" si="0"/>
        <v>3450</v>
      </c>
      <c r="G8" s="9">
        <f t="shared" si="0"/>
        <v>3600</v>
      </c>
      <c r="H8" s="9">
        <f t="shared" si="0"/>
        <v>3750</v>
      </c>
      <c r="K8" s="51" t="s">
        <v>202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</row>
    <row r="9" spans="1:25" ht="15" thickBot="1">
      <c r="A9" t="s">
        <v>167</v>
      </c>
      <c r="C9" s="33">
        <v>-50</v>
      </c>
      <c r="D9" s="33">
        <v>-50</v>
      </c>
      <c r="E9" s="33">
        <v>-50</v>
      </c>
      <c r="F9" s="33">
        <v>-50</v>
      </c>
      <c r="G9" s="33">
        <v>-50</v>
      </c>
      <c r="H9" s="33">
        <v>-50</v>
      </c>
      <c r="K9" s="54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6"/>
    </row>
    <row r="10" spans="1:25">
      <c r="A10" t="s">
        <v>168</v>
      </c>
      <c r="C10" s="9">
        <f>C8+C9</f>
        <v>1300</v>
      </c>
      <c r="D10" s="9">
        <f t="shared" ref="D10:H10" si="1">D8+D9</f>
        <v>2950</v>
      </c>
      <c r="E10" s="9">
        <f t="shared" si="1"/>
        <v>3250</v>
      </c>
      <c r="F10" s="9">
        <f t="shared" si="1"/>
        <v>3400</v>
      </c>
      <c r="G10" s="9">
        <f t="shared" si="1"/>
        <v>3550</v>
      </c>
      <c r="H10" s="9">
        <f t="shared" si="1"/>
        <v>3700</v>
      </c>
    </row>
    <row r="11" spans="1:25">
      <c r="A11" t="s">
        <v>169</v>
      </c>
      <c r="B11" s="60">
        <f>'Cash flows'!B14</f>
        <v>0.3</v>
      </c>
      <c r="C11" s="35">
        <f>-$B11*C10</f>
        <v>-390</v>
      </c>
      <c r="D11" s="35">
        <f t="shared" ref="D11:H11" si="2">-$B11*D10</f>
        <v>-885</v>
      </c>
      <c r="E11" s="35">
        <f t="shared" si="2"/>
        <v>-975</v>
      </c>
      <c r="F11" s="35">
        <f t="shared" si="2"/>
        <v>-1020</v>
      </c>
      <c r="G11" s="35">
        <f t="shared" si="2"/>
        <v>-1065</v>
      </c>
      <c r="H11" s="35">
        <f t="shared" si="2"/>
        <v>-1110</v>
      </c>
    </row>
    <row r="12" spans="1:25">
      <c r="A12" s="1" t="s">
        <v>170</v>
      </c>
      <c r="B12" s="1"/>
      <c r="C12" s="38">
        <f>C10+C11</f>
        <v>910</v>
      </c>
      <c r="D12" s="38">
        <f t="shared" ref="D12:H12" si="3">D10+D11</f>
        <v>2065</v>
      </c>
      <c r="E12" s="38">
        <f t="shared" si="3"/>
        <v>2275</v>
      </c>
      <c r="F12" s="38">
        <f t="shared" si="3"/>
        <v>2380</v>
      </c>
      <c r="G12" s="38">
        <f t="shared" si="3"/>
        <v>2485</v>
      </c>
      <c r="H12" s="38">
        <f t="shared" si="3"/>
        <v>2590</v>
      </c>
      <c r="I12" s="38">
        <f>H12*(1+'Cash flows'!B4)/(B15-'Cash flows'!B4)</f>
        <v>33663.953561738919</v>
      </c>
    </row>
    <row r="14" spans="1:25">
      <c r="A14" t="s">
        <v>94</v>
      </c>
      <c r="C14">
        <f>'Cash flows'!D23</f>
        <v>0.25</v>
      </c>
      <c r="D14" s="36">
        <f>'Cash flows'!E23</f>
        <v>1</v>
      </c>
      <c r="E14" s="36">
        <f>'Cash flows'!F23</f>
        <v>2</v>
      </c>
      <c r="F14" s="36">
        <f>'Cash flows'!G23</f>
        <v>3</v>
      </c>
      <c r="G14" s="36">
        <f>'Cash flows'!H23</f>
        <v>4</v>
      </c>
      <c r="H14" s="36">
        <f>'Cash flows'!I23</f>
        <v>5</v>
      </c>
    </row>
    <row r="15" spans="1:25">
      <c r="A15" t="s">
        <v>93</v>
      </c>
      <c r="B15" s="117">
        <f>'Cash flows'!B24+B3</f>
        <v>0.10924499999999999</v>
      </c>
      <c r="C15" s="37">
        <f>1/(1+$B15)^C14</f>
        <v>0.97441313606981217</v>
      </c>
      <c r="D15" s="37">
        <f t="shared" ref="D15:H15" si="4">1/(1+$B15)^D14</f>
        <v>0.90151409291905749</v>
      </c>
      <c r="E15" s="37">
        <f t="shared" si="4"/>
        <v>0.81272765973167116</v>
      </c>
      <c r="F15" s="37">
        <f t="shared" si="4"/>
        <v>0.73268543895322591</v>
      </c>
      <c r="G15" s="37">
        <f t="shared" si="4"/>
        <v>0.660526248892919</v>
      </c>
      <c r="H15" s="37">
        <f t="shared" si="4"/>
        <v>0.59547372211992755</v>
      </c>
      <c r="I15" s="37">
        <f>H15</f>
        <v>0.59547372211992755</v>
      </c>
    </row>
    <row r="16" spans="1:25">
      <c r="A16" t="s">
        <v>3</v>
      </c>
      <c r="C16" s="39">
        <f>C12*C15</f>
        <v>886.71595382352905</v>
      </c>
      <c r="D16" s="39">
        <f t="shared" ref="D16:I16" si="5">D12*D15</f>
        <v>1861.6266018778538</v>
      </c>
      <c r="E16" s="39">
        <f t="shared" si="5"/>
        <v>1848.9554258895519</v>
      </c>
      <c r="F16" s="39">
        <f t="shared" si="5"/>
        <v>1743.7913447086776</v>
      </c>
      <c r="G16" s="39">
        <f t="shared" si="5"/>
        <v>1641.4077284989037</v>
      </c>
      <c r="H16" s="39">
        <f t="shared" si="5"/>
        <v>1542.2769402906124</v>
      </c>
      <c r="I16" s="39">
        <f t="shared" si="5"/>
        <v>20045.999728681065</v>
      </c>
    </row>
    <row r="17" spans="1:9" ht="15" thickBot="1">
      <c r="A17" s="1" t="s">
        <v>95</v>
      </c>
      <c r="C17" s="40">
        <f>SUM(C16:I16)</f>
        <v>29570.773723770195</v>
      </c>
      <c r="D17" s="9"/>
      <c r="E17" s="9"/>
      <c r="F17" s="9"/>
      <c r="G17" s="9"/>
      <c r="H17" s="9"/>
      <c r="I17" s="9"/>
    </row>
    <row r="18" spans="1:9">
      <c r="C18" s="9"/>
      <c r="D18" s="9"/>
      <c r="E18" s="9"/>
      <c r="F18" s="9"/>
      <c r="G18" s="9"/>
      <c r="H18" s="9"/>
      <c r="I18" s="9"/>
    </row>
    <row r="19" spans="1:9">
      <c r="A19" s="28" t="s">
        <v>172</v>
      </c>
      <c r="C19" s="61">
        <f>C8/'Cash flows'!D13</f>
        <v>0.12385321100917432</v>
      </c>
      <c r="D19" s="61">
        <f>D8/'Cash flows'!E13</f>
        <v>0.24793388429752067</v>
      </c>
      <c r="E19" s="61">
        <f>E8/'Cash flows'!F13</f>
        <v>0.24535315985130113</v>
      </c>
      <c r="F19" s="61">
        <f>F8/'Cash flows'!G13</f>
        <v>0.24555160142348753</v>
      </c>
      <c r="G19" s="61">
        <f>G8/'Cash flows'!H13</f>
        <v>0.24827586206896551</v>
      </c>
      <c r="H19" s="61">
        <f>H8/'Cash flows'!I13</f>
        <v>0.24115755627009647</v>
      </c>
      <c r="I19" s="9"/>
    </row>
  </sheetData>
  <pageMargins left="0.7" right="0.7" top="0.75" bottom="0.75" header="0.3" footer="0.3"/>
  <pageSetup paperSize="9" orientation="landscape" r:id="rId1"/>
  <headerFooter>
    <oddHeader>&amp;L&amp;"-,Bold"&amp;K002F6CPurchase Price Allocation Template&amp;R&amp;G</oddHeader>
    <oddFooter>&amp;C&amp;9&amp;A&amp;R&amp;9Page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52C3F-F441-4DD2-983A-6ECBF5087238}">
  <dimension ref="A1:W40"/>
  <sheetViews>
    <sheetView showGridLines="0" zoomScaleNormal="100" workbookViewId="0">
      <selection activeCell="L15" sqref="L15"/>
    </sheetView>
  </sheetViews>
  <sheetFormatPr defaultColWidth="9.1796875" defaultRowHeight="14.5"/>
  <cols>
    <col min="1" max="1" width="17.453125" style="23" customWidth="1"/>
    <col min="2" max="4" width="9.1796875" style="23"/>
    <col min="5" max="5" width="9.54296875" style="23" bestFit="1" customWidth="1"/>
    <col min="6" max="7" width="9.1796875" style="23"/>
    <col min="8" max="8" width="2.81640625" style="23" customWidth="1"/>
    <col min="9" max="16384" width="9.1796875" style="23"/>
  </cols>
  <sheetData>
    <row r="1" spans="1:23" ht="21">
      <c r="A1" s="62" t="s">
        <v>187</v>
      </c>
      <c r="G1"/>
      <c r="H1"/>
    </row>
    <row r="2" spans="1:23" ht="15" thickBot="1"/>
    <row r="3" spans="1:23">
      <c r="A3" s="76" t="s">
        <v>176</v>
      </c>
      <c r="B3" s="76" t="s">
        <v>177</v>
      </c>
      <c r="C3" s="77" t="s">
        <v>178</v>
      </c>
      <c r="D3" s="125" t="s">
        <v>191</v>
      </c>
      <c r="E3" s="125" t="s">
        <v>190</v>
      </c>
      <c r="F3" s="125" t="s">
        <v>188</v>
      </c>
      <c r="G3" s="125" t="s">
        <v>189</v>
      </c>
      <c r="H3" s="6"/>
      <c r="I3" s="48" t="s">
        <v>57</v>
      </c>
      <c r="J3" s="57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3">
      <c r="A4" s="76"/>
      <c r="B4" s="76"/>
      <c r="C4" s="77"/>
      <c r="D4" s="125"/>
      <c r="E4" s="125"/>
      <c r="F4" s="125"/>
      <c r="G4" s="125"/>
      <c r="H4" s="6"/>
      <c r="I4" s="51" t="s">
        <v>197</v>
      </c>
      <c r="J4" s="58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>
      <c r="A5" s="2" t="s">
        <v>192</v>
      </c>
      <c r="I5" s="51" t="s">
        <v>198</v>
      </c>
      <c r="J5" s="58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3"/>
    </row>
    <row r="6" spans="1:23">
      <c r="A6" s="78" t="s">
        <v>179</v>
      </c>
      <c r="B6" s="80">
        <v>1</v>
      </c>
      <c r="C6" s="81">
        <v>78</v>
      </c>
      <c r="D6" s="81">
        <v>40</v>
      </c>
      <c r="E6" s="59">
        <f>D6*C6*B6</f>
        <v>3120</v>
      </c>
      <c r="F6" s="82">
        <v>70</v>
      </c>
      <c r="G6" s="59">
        <f>E6*F6/1000</f>
        <v>218.4</v>
      </c>
      <c r="I6" s="51" t="s">
        <v>199</v>
      </c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3">
      <c r="A7" s="78" t="s">
        <v>180</v>
      </c>
      <c r="B7" s="80">
        <v>1</v>
      </c>
      <c r="C7" s="81">
        <v>78</v>
      </c>
      <c r="D7" s="81">
        <v>40</v>
      </c>
      <c r="E7" s="59">
        <f t="shared" ref="E7:E11" si="0">D7*C7*B7</f>
        <v>3120</v>
      </c>
      <c r="F7" s="82">
        <v>48</v>
      </c>
      <c r="G7" s="59">
        <f t="shared" ref="G7:G11" si="1">E7*F7/1000</f>
        <v>149.76</v>
      </c>
      <c r="I7" s="51" t="s">
        <v>200</v>
      </c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3"/>
    </row>
    <row r="8" spans="1:23">
      <c r="A8" s="78" t="s">
        <v>181</v>
      </c>
      <c r="B8" s="80">
        <v>2</v>
      </c>
      <c r="C8" s="81">
        <v>78</v>
      </c>
      <c r="D8" s="81">
        <v>40</v>
      </c>
      <c r="E8" s="59">
        <f t="shared" si="0"/>
        <v>6240</v>
      </c>
      <c r="F8" s="82">
        <v>66</v>
      </c>
      <c r="G8" s="59">
        <f t="shared" si="1"/>
        <v>411.84</v>
      </c>
      <c r="I8" s="51" t="s">
        <v>201</v>
      </c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3"/>
    </row>
    <row r="9" spans="1:23" ht="15" thickBot="1">
      <c r="A9" s="2" t="s">
        <v>182</v>
      </c>
      <c r="B9" s="80">
        <v>4</v>
      </c>
      <c r="C9" s="81">
        <v>78</v>
      </c>
      <c r="D9" s="81">
        <v>40</v>
      </c>
      <c r="E9" s="59">
        <f t="shared" si="0"/>
        <v>12480</v>
      </c>
      <c r="F9" s="82">
        <v>55</v>
      </c>
      <c r="G9" s="59">
        <f t="shared" si="1"/>
        <v>686.4</v>
      </c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6"/>
    </row>
    <row r="10" spans="1:23" ht="15" customHeight="1">
      <c r="A10" s="78" t="s">
        <v>183</v>
      </c>
      <c r="B10" s="80">
        <v>4</v>
      </c>
      <c r="C10" s="81">
        <v>78</v>
      </c>
      <c r="D10" s="81">
        <v>40</v>
      </c>
      <c r="E10" s="59">
        <f t="shared" si="0"/>
        <v>12480</v>
      </c>
      <c r="F10" s="82">
        <v>44</v>
      </c>
      <c r="G10" s="59">
        <f t="shared" si="1"/>
        <v>549.12</v>
      </c>
      <c r="H10" s="79"/>
      <c r="I10" s="79"/>
      <c r="L10" s="79"/>
    </row>
    <row r="11" spans="1:23">
      <c r="A11" s="78" t="s">
        <v>184</v>
      </c>
      <c r="B11" s="80">
        <v>4</v>
      </c>
      <c r="C11" s="81">
        <v>78</v>
      </c>
      <c r="D11" s="81">
        <v>40</v>
      </c>
      <c r="E11" s="59">
        <f t="shared" si="0"/>
        <v>12480</v>
      </c>
      <c r="F11" s="82">
        <v>31</v>
      </c>
      <c r="G11" s="59">
        <f t="shared" si="1"/>
        <v>386.88</v>
      </c>
      <c r="H11" s="79"/>
      <c r="I11" s="79"/>
      <c r="L11" s="79"/>
    </row>
    <row r="12" spans="1:23" ht="15" customHeight="1">
      <c r="A12" s="22" t="str">
        <f>"Total - "&amp;A5</f>
        <v>Total - Software 1</v>
      </c>
      <c r="B12" s="127"/>
      <c r="C12" s="127"/>
      <c r="D12" s="63"/>
      <c r="E12" s="63"/>
      <c r="F12" s="63"/>
      <c r="G12" s="83">
        <f>SUM(G6:G11)</f>
        <v>2402.4</v>
      </c>
      <c r="H12" s="79"/>
      <c r="I12" s="79"/>
      <c r="L12" s="79"/>
    </row>
    <row r="13" spans="1:23">
      <c r="C13" s="70"/>
      <c r="D13" s="70"/>
      <c r="E13" s="70"/>
      <c r="F13" s="70"/>
      <c r="G13" s="70"/>
      <c r="H13" s="79"/>
      <c r="I13" s="79"/>
      <c r="L13" s="79"/>
    </row>
    <row r="14" spans="1:23">
      <c r="A14" s="2" t="s">
        <v>193</v>
      </c>
      <c r="E14" s="64"/>
      <c r="F14" s="64"/>
      <c r="G14" s="64"/>
      <c r="H14" s="79"/>
      <c r="I14" s="79"/>
      <c r="L14" s="79"/>
    </row>
    <row r="15" spans="1:23">
      <c r="A15" s="78" t="s">
        <v>179</v>
      </c>
      <c r="B15" s="80">
        <v>1</v>
      </c>
      <c r="C15" s="81">
        <v>78</v>
      </c>
      <c r="D15" s="81">
        <v>40</v>
      </c>
      <c r="E15" s="59">
        <f>D15*C15*B15</f>
        <v>3120</v>
      </c>
      <c r="F15" s="82">
        <v>70</v>
      </c>
      <c r="G15" s="59">
        <f>E15*F15/1000</f>
        <v>218.4</v>
      </c>
      <c r="H15" s="79"/>
      <c r="I15" s="79"/>
      <c r="J15" s="79"/>
      <c r="K15" s="79"/>
      <c r="L15" s="79"/>
    </row>
    <row r="16" spans="1:23">
      <c r="A16" s="78" t="s">
        <v>180</v>
      </c>
      <c r="B16" s="80">
        <v>1</v>
      </c>
      <c r="C16" s="81">
        <v>78</v>
      </c>
      <c r="D16" s="81">
        <v>40</v>
      </c>
      <c r="E16" s="59">
        <f t="shared" ref="E16:E20" si="2">D16*C16*B16</f>
        <v>3120</v>
      </c>
      <c r="F16" s="82">
        <v>48</v>
      </c>
      <c r="G16" s="59">
        <f t="shared" ref="G16:G20" si="3">E16*F16/1000</f>
        <v>149.76</v>
      </c>
      <c r="H16" s="79"/>
      <c r="I16" s="79"/>
      <c r="J16" s="79"/>
      <c r="K16" s="79"/>
      <c r="L16" s="79"/>
    </row>
    <row r="17" spans="1:12">
      <c r="A17" s="78" t="s">
        <v>181</v>
      </c>
      <c r="B17" s="80">
        <v>2</v>
      </c>
      <c r="C17" s="81">
        <v>78</v>
      </c>
      <c r="D17" s="81">
        <v>40</v>
      </c>
      <c r="E17" s="59">
        <f t="shared" si="2"/>
        <v>6240</v>
      </c>
      <c r="F17" s="82">
        <v>66</v>
      </c>
      <c r="G17" s="59">
        <f t="shared" si="3"/>
        <v>411.84</v>
      </c>
      <c r="H17" s="65"/>
      <c r="I17" s="65"/>
      <c r="J17" s="68"/>
      <c r="K17" s="69"/>
      <c r="L17" s="64"/>
    </row>
    <row r="18" spans="1:12">
      <c r="A18" s="2" t="s">
        <v>182</v>
      </c>
      <c r="B18" s="80">
        <v>4</v>
      </c>
      <c r="C18" s="81">
        <v>78</v>
      </c>
      <c r="D18" s="81">
        <v>40</v>
      </c>
      <c r="E18" s="59">
        <f t="shared" si="2"/>
        <v>12480</v>
      </c>
      <c r="F18" s="82">
        <v>55</v>
      </c>
      <c r="G18" s="59">
        <f t="shared" si="3"/>
        <v>686.4</v>
      </c>
      <c r="H18" s="65"/>
      <c r="I18" s="65"/>
      <c r="J18" s="64"/>
      <c r="K18" s="65"/>
      <c r="L18" s="64"/>
    </row>
    <row r="19" spans="1:12">
      <c r="A19" s="78" t="s">
        <v>183</v>
      </c>
      <c r="B19" s="80">
        <v>6</v>
      </c>
      <c r="C19" s="81">
        <v>78</v>
      </c>
      <c r="D19" s="81">
        <v>40</v>
      </c>
      <c r="E19" s="59">
        <f t="shared" si="2"/>
        <v>18720</v>
      </c>
      <c r="F19" s="82">
        <v>44</v>
      </c>
      <c r="G19" s="59">
        <f t="shared" si="3"/>
        <v>823.68</v>
      </c>
      <c r="H19" s="65"/>
      <c r="I19" s="65"/>
      <c r="J19" s="64"/>
      <c r="K19" s="65"/>
      <c r="L19" s="64"/>
    </row>
    <row r="20" spans="1:12">
      <c r="A20" s="78" t="s">
        <v>184</v>
      </c>
      <c r="B20" s="80">
        <v>4</v>
      </c>
      <c r="C20" s="81">
        <v>78</v>
      </c>
      <c r="D20" s="81">
        <v>40</v>
      </c>
      <c r="E20" s="59">
        <f t="shared" si="2"/>
        <v>12480</v>
      </c>
      <c r="F20" s="82">
        <v>31</v>
      </c>
      <c r="G20" s="59">
        <f t="shared" si="3"/>
        <v>386.88</v>
      </c>
      <c r="H20" s="65"/>
      <c r="I20" s="65"/>
      <c r="J20" s="64"/>
      <c r="K20" s="65"/>
      <c r="L20" s="64"/>
    </row>
    <row r="21" spans="1:12">
      <c r="A21" s="22" t="str">
        <f>"Total - "&amp;A14</f>
        <v>Total - Software 2</v>
      </c>
      <c r="B21" s="67"/>
      <c r="C21" s="64"/>
      <c r="D21" s="64"/>
      <c r="E21" s="63"/>
      <c r="F21" s="63"/>
      <c r="G21" s="83">
        <f>SUM(G15:G20)</f>
        <v>2676.96</v>
      </c>
      <c r="H21" s="65"/>
      <c r="I21" s="65"/>
      <c r="J21" s="64"/>
      <c r="K21" s="65"/>
      <c r="L21" s="64"/>
    </row>
    <row r="22" spans="1:12">
      <c r="B22" s="67"/>
      <c r="C22" s="64"/>
      <c r="D22" s="64"/>
      <c r="E22" s="64"/>
      <c r="F22" s="64"/>
      <c r="G22" s="64"/>
      <c r="H22" s="65"/>
      <c r="I22" s="65"/>
      <c r="J22" s="64"/>
      <c r="K22" s="65"/>
      <c r="L22" s="64"/>
    </row>
    <row r="23" spans="1:12">
      <c r="A23" s="2" t="s">
        <v>194</v>
      </c>
      <c r="E23" s="64"/>
      <c r="F23" s="64"/>
      <c r="G23" s="64"/>
      <c r="H23" s="65"/>
      <c r="I23" s="65"/>
      <c r="J23" s="64"/>
      <c r="K23" s="65"/>
      <c r="L23" s="64"/>
    </row>
    <row r="24" spans="1:12">
      <c r="A24" s="78" t="s">
        <v>179</v>
      </c>
      <c r="B24" s="80">
        <v>1</v>
      </c>
      <c r="C24" s="81">
        <v>52</v>
      </c>
      <c r="D24" s="81">
        <v>40</v>
      </c>
      <c r="E24" s="59">
        <f>D24*C24*B24</f>
        <v>2080</v>
      </c>
      <c r="F24" s="82">
        <v>70</v>
      </c>
      <c r="G24" s="59">
        <f>E24*F24/1000</f>
        <v>145.6</v>
      </c>
      <c r="H24" s="65"/>
      <c r="I24" s="65"/>
      <c r="J24" s="64"/>
      <c r="K24" s="65"/>
      <c r="L24" s="64"/>
    </row>
    <row r="25" spans="1:12">
      <c r="A25" s="78" t="s">
        <v>180</v>
      </c>
      <c r="B25" s="80">
        <v>1</v>
      </c>
      <c r="C25" s="81">
        <v>52</v>
      </c>
      <c r="D25" s="81">
        <v>40</v>
      </c>
      <c r="E25" s="59">
        <f t="shared" ref="E25:E29" si="4">D25*C25*B25</f>
        <v>2080</v>
      </c>
      <c r="F25" s="82">
        <v>48</v>
      </c>
      <c r="G25" s="59">
        <f t="shared" ref="G25:G29" si="5">E25*F25/1000</f>
        <v>99.84</v>
      </c>
      <c r="H25" s="65"/>
      <c r="I25" s="65"/>
      <c r="J25" s="64"/>
      <c r="K25" s="65"/>
      <c r="L25" s="64"/>
    </row>
    <row r="26" spans="1:12">
      <c r="A26" s="78" t="s">
        <v>181</v>
      </c>
      <c r="B26" s="80">
        <v>1</v>
      </c>
      <c r="C26" s="81">
        <v>52</v>
      </c>
      <c r="D26" s="81">
        <v>40</v>
      </c>
      <c r="E26" s="59">
        <f t="shared" si="4"/>
        <v>2080</v>
      </c>
      <c r="F26" s="82">
        <v>66</v>
      </c>
      <c r="G26" s="59">
        <f t="shared" si="5"/>
        <v>137.28</v>
      </c>
      <c r="H26" s="65"/>
      <c r="I26" s="65"/>
      <c r="J26" s="64"/>
      <c r="K26" s="65"/>
      <c r="L26" s="64"/>
    </row>
    <row r="27" spans="1:12">
      <c r="A27" s="2" t="s">
        <v>182</v>
      </c>
      <c r="B27" s="80">
        <v>3</v>
      </c>
      <c r="C27" s="81">
        <v>52</v>
      </c>
      <c r="D27" s="81">
        <v>40</v>
      </c>
      <c r="E27" s="59">
        <f t="shared" si="4"/>
        <v>6240</v>
      </c>
      <c r="F27" s="82">
        <v>55</v>
      </c>
      <c r="G27" s="59">
        <f t="shared" si="5"/>
        <v>343.2</v>
      </c>
      <c r="H27" s="65"/>
      <c r="I27" s="65"/>
      <c r="J27" s="64"/>
      <c r="K27" s="65"/>
      <c r="L27" s="64"/>
    </row>
    <row r="28" spans="1:12">
      <c r="A28" s="78" t="s">
        <v>183</v>
      </c>
      <c r="B28" s="80">
        <v>3</v>
      </c>
      <c r="C28" s="81">
        <v>52</v>
      </c>
      <c r="D28" s="81">
        <v>40</v>
      </c>
      <c r="E28" s="59">
        <f t="shared" si="4"/>
        <v>6240</v>
      </c>
      <c r="F28" s="82">
        <v>44</v>
      </c>
      <c r="G28" s="59">
        <f t="shared" si="5"/>
        <v>274.56</v>
      </c>
      <c r="H28" s="65"/>
      <c r="I28" s="65"/>
      <c r="J28" s="64"/>
      <c r="K28" s="65"/>
      <c r="L28" s="64"/>
    </row>
    <row r="29" spans="1:12">
      <c r="A29" s="78" t="s">
        <v>184</v>
      </c>
      <c r="B29" s="80">
        <v>3</v>
      </c>
      <c r="C29" s="81">
        <v>52</v>
      </c>
      <c r="D29" s="81">
        <v>40</v>
      </c>
      <c r="E29" s="59">
        <f t="shared" si="4"/>
        <v>6240</v>
      </c>
      <c r="F29" s="82">
        <v>31</v>
      </c>
      <c r="G29" s="59">
        <f t="shared" si="5"/>
        <v>193.44</v>
      </c>
      <c r="H29" s="65"/>
      <c r="I29" s="65"/>
      <c r="J29" s="64"/>
      <c r="K29" s="65"/>
      <c r="L29" s="64"/>
    </row>
    <row r="30" spans="1:12">
      <c r="A30" s="22" t="str">
        <f>"Total - "&amp;A23</f>
        <v>Total - Software 3</v>
      </c>
      <c r="B30" s="67"/>
      <c r="C30" s="64"/>
      <c r="D30" s="64"/>
      <c r="E30" s="63"/>
      <c r="F30" s="63"/>
      <c r="G30" s="83">
        <f>SUM(G24:G29)</f>
        <v>1193.92</v>
      </c>
      <c r="H30" s="65"/>
      <c r="I30" s="65"/>
      <c r="J30" s="64"/>
      <c r="K30" s="65"/>
      <c r="L30" s="64"/>
    </row>
    <row r="31" spans="1:12">
      <c r="B31" s="66"/>
      <c r="C31" s="64"/>
      <c r="D31" s="64"/>
      <c r="E31" s="64"/>
      <c r="F31" s="64"/>
      <c r="G31" s="64"/>
      <c r="H31" s="65"/>
      <c r="I31" s="65"/>
      <c r="J31" s="64"/>
      <c r="K31" s="65"/>
      <c r="L31" s="64"/>
    </row>
    <row r="32" spans="1:12">
      <c r="A32" s="22" t="s">
        <v>185</v>
      </c>
      <c r="B32" s="66"/>
      <c r="C32" s="64"/>
      <c r="D32" s="64"/>
      <c r="E32" s="64"/>
      <c r="F32" s="64"/>
      <c r="G32" s="71">
        <f>G30+G21+G12</f>
        <v>6273.2800000000007</v>
      </c>
      <c r="H32" s="65"/>
      <c r="I32" s="65"/>
      <c r="J32" s="64"/>
      <c r="K32" s="65"/>
      <c r="L32" s="64"/>
    </row>
    <row r="33" spans="1:12">
      <c r="A33" s="84" t="s">
        <v>195</v>
      </c>
      <c r="B33" s="84"/>
      <c r="C33" s="84"/>
      <c r="D33" s="84"/>
      <c r="E33" s="84"/>
      <c r="F33" s="19">
        <v>0.12</v>
      </c>
      <c r="G33" s="68">
        <f>G32*F33</f>
        <v>752.79360000000008</v>
      </c>
      <c r="H33" s="65"/>
      <c r="I33" s="65"/>
      <c r="J33" s="64"/>
      <c r="K33" s="65"/>
      <c r="L33" s="64"/>
    </row>
    <row r="34" spans="1:12">
      <c r="A34" s="23" t="s">
        <v>196</v>
      </c>
      <c r="B34" s="66"/>
      <c r="C34" s="64"/>
      <c r="D34" s="64"/>
      <c r="E34" s="64"/>
      <c r="F34" s="19">
        <v>0.15</v>
      </c>
      <c r="G34" s="68">
        <f>(G32+G33)*F34</f>
        <v>1053.91104</v>
      </c>
      <c r="H34" s="65"/>
      <c r="I34" s="65"/>
      <c r="J34" s="64"/>
      <c r="K34" s="65"/>
      <c r="L34" s="64"/>
    </row>
    <row r="35" spans="1:12" ht="15" thickBot="1">
      <c r="A35" s="22" t="s">
        <v>186</v>
      </c>
      <c r="G35" s="85">
        <f>SUM(G32:G34)</f>
        <v>8079.9846400000006</v>
      </c>
    </row>
    <row r="36" spans="1:12" ht="15" thickTop="1"/>
    <row r="37" spans="1:12">
      <c r="C37" s="72"/>
      <c r="D37" s="72"/>
      <c r="E37" s="72"/>
      <c r="F37" s="72"/>
      <c r="G37" s="72"/>
      <c r="H37" s="72"/>
      <c r="I37" s="73"/>
      <c r="J37" s="73"/>
    </row>
    <row r="38" spans="1:12">
      <c r="I38" s="74"/>
      <c r="J38" s="73"/>
    </row>
    <row r="39" spans="1:12">
      <c r="B39" s="126"/>
      <c r="C39" s="126"/>
      <c r="D39" s="126"/>
      <c r="E39" s="126"/>
      <c r="F39" s="126"/>
      <c r="G39" s="126"/>
      <c r="H39" s="126"/>
      <c r="I39" s="126"/>
      <c r="J39" s="73"/>
    </row>
    <row r="40" spans="1:12">
      <c r="C40" s="72"/>
      <c r="D40" s="72"/>
      <c r="E40" s="72"/>
      <c r="F40" s="72"/>
      <c r="G40" s="72"/>
      <c r="H40" s="72"/>
      <c r="I40" s="73"/>
      <c r="J40" s="73"/>
    </row>
  </sheetData>
  <mergeCells count="6">
    <mergeCell ref="D3:D4"/>
    <mergeCell ref="E3:E4"/>
    <mergeCell ref="F3:F4"/>
    <mergeCell ref="G3:G4"/>
    <mergeCell ref="B39:I39"/>
    <mergeCell ref="B12:C12"/>
  </mergeCells>
  <pageMargins left="0.7" right="0.7" top="0.75" bottom="0.75" header="0.3" footer="0.3"/>
  <pageSetup paperSize="9" orientation="portrait" r:id="rId1"/>
  <headerFooter>
    <oddHeader>&amp;L&amp;"-,Bold"&amp;K002F6CPurchase Price Allocation - Template&amp;R&amp;G</oddHeader>
    <oddFooter>&amp;C&amp;9&amp;A&amp;R&amp;9Page &amp;P of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1ECD5-A92B-41FC-8341-E0389F827EF4}">
  <dimension ref="A1:V18"/>
  <sheetViews>
    <sheetView showGridLines="0" zoomScaleNormal="100" workbookViewId="0">
      <selection activeCell="L15" sqref="L15"/>
    </sheetView>
  </sheetViews>
  <sheetFormatPr defaultRowHeight="14.5"/>
  <cols>
    <col min="1" max="1" width="32.81640625" bestFit="1" customWidth="1"/>
    <col min="2" max="2" width="6.1796875" bestFit="1" customWidth="1"/>
    <col min="3" max="3" width="9.1796875" customWidth="1"/>
    <col min="7" max="7" width="2.7265625" customWidth="1"/>
  </cols>
  <sheetData>
    <row r="1" spans="1:22" ht="21.5" thickBot="1">
      <c r="A1" s="17" t="s">
        <v>203</v>
      </c>
      <c r="B1" s="17"/>
    </row>
    <row r="2" spans="1:22">
      <c r="H2" s="48" t="s">
        <v>57</v>
      </c>
      <c r="I2" s="57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50"/>
    </row>
    <row r="3" spans="1:22">
      <c r="A3" t="s">
        <v>331</v>
      </c>
      <c r="B3" s="15">
        <v>0.02</v>
      </c>
      <c r="H3" s="51" t="s">
        <v>210</v>
      </c>
      <c r="I3" s="58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1:22">
      <c r="H4" s="51" t="s">
        <v>211</v>
      </c>
      <c r="I4" s="58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3"/>
    </row>
    <row r="5" spans="1:22">
      <c r="A5" s="5" t="s">
        <v>12</v>
      </c>
      <c r="B5" s="5"/>
      <c r="C5" s="6" t="s">
        <v>75</v>
      </c>
      <c r="D5" s="6" t="s">
        <v>85</v>
      </c>
      <c r="E5" s="6" t="s">
        <v>86</v>
      </c>
      <c r="F5" s="6" t="s">
        <v>87</v>
      </c>
      <c r="H5" s="51" t="s">
        <v>174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3"/>
    </row>
    <row r="6" spans="1:22">
      <c r="A6" s="23" t="s">
        <v>204</v>
      </c>
      <c r="B6" s="5"/>
      <c r="C6" s="59">
        <f>'Cash flows'!D7*'Cash flows'!D20</f>
        <v>13500</v>
      </c>
      <c r="D6" s="59">
        <f>'Cash flows'!E7</f>
        <v>30000</v>
      </c>
      <c r="E6" s="59">
        <f>'Cash flows'!F7</f>
        <v>33000</v>
      </c>
      <c r="F6" s="59">
        <f>'Cash flows'!G7*(1-'Cash flows'!D20)</f>
        <v>17250</v>
      </c>
      <c r="H6" s="51" t="s">
        <v>212</v>
      </c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</row>
    <row r="7" spans="1:22" ht="15" thickBot="1">
      <c r="A7" s="87" t="s">
        <v>206</v>
      </c>
      <c r="B7" s="86"/>
      <c r="C7" s="88">
        <v>0.1</v>
      </c>
      <c r="D7" s="88">
        <v>0.1</v>
      </c>
      <c r="E7" s="88">
        <v>0.1</v>
      </c>
      <c r="F7" s="88">
        <v>0.1</v>
      </c>
      <c r="H7" s="54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6"/>
    </row>
    <row r="8" spans="1:22">
      <c r="A8" t="s">
        <v>205</v>
      </c>
      <c r="B8" s="5"/>
      <c r="C8" s="9">
        <f>C7*C6</f>
        <v>1350</v>
      </c>
      <c r="D8" s="9">
        <f t="shared" ref="D8:E8" si="0">D7*D6</f>
        <v>3000</v>
      </c>
      <c r="E8" s="9">
        <f t="shared" si="0"/>
        <v>3300</v>
      </c>
      <c r="F8" s="9">
        <f t="shared" ref="F8" si="1">F7*F6</f>
        <v>1725</v>
      </c>
    </row>
    <row r="9" spans="1:22">
      <c r="A9" s="28" t="s">
        <v>207</v>
      </c>
      <c r="B9" s="86"/>
      <c r="C9" s="31">
        <f>'Cash flows'!D29</f>
        <v>0.55555555555555558</v>
      </c>
      <c r="D9" s="31">
        <f>'Cash flows'!E29</f>
        <v>0.55000000000000004</v>
      </c>
      <c r="E9" s="31">
        <f>'Cash flows'!F29</f>
        <v>0.54545454545454541</v>
      </c>
      <c r="F9" s="31">
        <f>'Cash flows'!G29</f>
        <v>0.54347826086956519</v>
      </c>
    </row>
    <row r="10" spans="1:22">
      <c r="A10" t="s">
        <v>208</v>
      </c>
      <c r="C10" s="9">
        <f>C8*C9</f>
        <v>750</v>
      </c>
      <c r="D10" s="9">
        <f t="shared" ref="D10:E10" si="2">D8*D9</f>
        <v>1650.0000000000002</v>
      </c>
      <c r="E10" s="9">
        <f t="shared" si="2"/>
        <v>1799.9999999999998</v>
      </c>
      <c r="F10" s="9">
        <f t="shared" ref="F10" si="3">F8*F9</f>
        <v>937.5</v>
      </c>
    </row>
    <row r="11" spans="1:22">
      <c r="A11" t="s">
        <v>169</v>
      </c>
      <c r="B11" s="60">
        <f>'Cash flows'!B14</f>
        <v>0.3</v>
      </c>
      <c r="C11" s="35">
        <f>-$B11*C10</f>
        <v>-225</v>
      </c>
      <c r="D11" s="35">
        <f t="shared" ref="D11:E11" si="4">-$B11*D10</f>
        <v>-495.00000000000006</v>
      </c>
      <c r="E11" s="35">
        <f t="shared" si="4"/>
        <v>-539.99999999999989</v>
      </c>
      <c r="F11" s="35">
        <f t="shared" ref="F11" si="5">-$B11*F10</f>
        <v>-281.25</v>
      </c>
    </row>
    <row r="12" spans="1:22">
      <c r="A12" s="1" t="s">
        <v>209</v>
      </c>
      <c r="B12" s="1"/>
      <c r="C12" s="38">
        <f>C10+C11</f>
        <v>525</v>
      </c>
      <c r="D12" s="38">
        <f t="shared" ref="D12:E12" si="6">D10+D11</f>
        <v>1155.0000000000002</v>
      </c>
      <c r="E12" s="38">
        <f t="shared" si="6"/>
        <v>1260</v>
      </c>
      <c r="F12" s="38">
        <f t="shared" ref="F12" si="7">F10+F11</f>
        <v>656.25</v>
      </c>
    </row>
    <row r="14" spans="1:22">
      <c r="A14" t="s">
        <v>94</v>
      </c>
      <c r="C14">
        <f>'Cash flows'!D23</f>
        <v>0.25</v>
      </c>
      <c r="D14" s="36">
        <f>'Cash flows'!E23</f>
        <v>1</v>
      </c>
      <c r="E14" s="36">
        <f>'Cash flows'!F23</f>
        <v>2</v>
      </c>
      <c r="F14" s="36">
        <f>'Cash flows'!G23</f>
        <v>3</v>
      </c>
    </row>
    <row r="15" spans="1:22">
      <c r="A15" t="s">
        <v>93</v>
      </c>
      <c r="B15" s="117">
        <f>'Cash flows'!B24+B3</f>
        <v>0.119245</v>
      </c>
      <c r="C15" s="37">
        <f>1/(1+$B15)^C14</f>
        <v>0.97222930902253502</v>
      </c>
      <c r="D15" s="37">
        <f t="shared" ref="D15:E15" si="8">1/(1+$B15)^D14</f>
        <v>0.89345943024092134</v>
      </c>
      <c r="E15" s="37">
        <f t="shared" si="8"/>
        <v>0.7982697534864317</v>
      </c>
      <c r="F15" s="37">
        <f t="shared" ref="F15" si="9">1/(1+$B15)^F14</f>
        <v>0.71322163912854808</v>
      </c>
    </row>
    <row r="16" spans="1:22">
      <c r="A16" t="s">
        <v>3</v>
      </c>
      <c r="C16" s="39">
        <f>C12*C15</f>
        <v>510.42038723683089</v>
      </c>
      <c r="D16" s="39">
        <f t="shared" ref="D16:E16" si="10">D12*D15</f>
        <v>1031.9456419282644</v>
      </c>
      <c r="E16" s="39">
        <f t="shared" si="10"/>
        <v>1005.819889392904</v>
      </c>
      <c r="F16" s="39">
        <f t="shared" ref="F16" si="11">F12*F15</f>
        <v>468.05170067810968</v>
      </c>
    </row>
    <row r="17" spans="1:5" ht="15" thickBot="1">
      <c r="A17" s="1" t="s">
        <v>95</v>
      </c>
      <c r="C17" s="40">
        <f>SUM(C16:F16)</f>
        <v>3016.2376192361089</v>
      </c>
      <c r="D17" s="9"/>
      <c r="E17" s="9"/>
    </row>
    <row r="18" spans="1:5">
      <c r="C18" s="9"/>
      <c r="D18" s="9"/>
      <c r="E18" s="9"/>
    </row>
  </sheetData>
  <pageMargins left="0.7" right="0.7" top="0.75" bottom="0.75" header="0.3" footer="0.3"/>
  <pageSetup paperSize="9" orientation="landscape" r:id="rId1"/>
  <headerFooter>
    <oddHeader>&amp;L&amp;"-,Bold"&amp;K002F6CPurchase Price Allocation Template&amp;R&amp;G</oddHeader>
    <oddFooter>&amp;C&amp;9&amp;A&amp;R&amp;9Page &amp;P of 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9165F-4B4F-4947-B6BE-42EB459974C8}">
  <dimension ref="A1:W40"/>
  <sheetViews>
    <sheetView showGridLines="0" zoomScaleNormal="100" workbookViewId="0">
      <selection activeCell="L15" sqref="L15"/>
    </sheetView>
  </sheetViews>
  <sheetFormatPr defaultColWidth="9.1796875" defaultRowHeight="14.5"/>
  <cols>
    <col min="1" max="1" width="20.453125" style="23" customWidth="1"/>
    <col min="2" max="4" width="9.1796875" style="23"/>
    <col min="5" max="5" width="9.54296875" style="23" bestFit="1" customWidth="1"/>
    <col min="6" max="7" width="9.1796875" style="23"/>
    <col min="8" max="8" width="2.81640625" style="23" customWidth="1"/>
    <col min="9" max="16384" width="9.1796875" style="23"/>
  </cols>
  <sheetData>
    <row r="1" spans="1:23" ht="21">
      <c r="A1" s="62" t="s">
        <v>213</v>
      </c>
      <c r="F1"/>
      <c r="G1"/>
      <c r="H1"/>
    </row>
    <row r="2" spans="1:23" ht="15" thickBot="1"/>
    <row r="3" spans="1:23" ht="15" customHeight="1">
      <c r="A3" s="76" t="s">
        <v>257</v>
      </c>
      <c r="B3" s="76" t="s">
        <v>217</v>
      </c>
      <c r="C3" s="77" t="s">
        <v>218</v>
      </c>
      <c r="D3" s="125" t="s">
        <v>222</v>
      </c>
      <c r="E3" s="125" t="s">
        <v>220</v>
      </c>
      <c r="F3" s="125" t="s">
        <v>221</v>
      </c>
      <c r="G3" s="125" t="s">
        <v>223</v>
      </c>
      <c r="H3" s="6"/>
      <c r="I3" s="48" t="s">
        <v>57</v>
      </c>
      <c r="J3" s="57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3">
      <c r="A4" s="76"/>
      <c r="B4" s="76"/>
      <c r="C4" s="77" t="s">
        <v>219</v>
      </c>
      <c r="D4" s="125"/>
      <c r="E4" s="125"/>
      <c r="F4" s="125"/>
      <c r="G4" s="125"/>
      <c r="H4" s="6"/>
      <c r="I4" s="51" t="s">
        <v>214</v>
      </c>
      <c r="J4" s="58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>
      <c r="A5" s="22" t="s">
        <v>296</v>
      </c>
      <c r="I5" s="51" t="s">
        <v>215</v>
      </c>
      <c r="J5" s="58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3"/>
    </row>
    <row r="6" spans="1:23" ht="15" thickBot="1">
      <c r="A6" s="23" t="s">
        <v>224</v>
      </c>
      <c r="B6" s="12">
        <v>200000</v>
      </c>
      <c r="C6" s="12">
        <v>100000</v>
      </c>
      <c r="D6" s="12">
        <v>85000</v>
      </c>
      <c r="E6" s="12">
        <v>75000</v>
      </c>
      <c r="F6" s="12">
        <v>80000</v>
      </c>
      <c r="G6" s="12">
        <v>60000</v>
      </c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6"/>
    </row>
    <row r="7" spans="1:23">
      <c r="A7" s="23" t="s">
        <v>225</v>
      </c>
      <c r="B7" s="90">
        <v>1</v>
      </c>
      <c r="C7" s="90">
        <v>4</v>
      </c>
      <c r="D7" s="90">
        <v>9</v>
      </c>
      <c r="E7" s="90">
        <v>4</v>
      </c>
      <c r="F7" s="90">
        <v>2</v>
      </c>
      <c r="G7" s="90">
        <v>3</v>
      </c>
      <c r="H7" s="79"/>
      <c r="I7" s="79"/>
      <c r="L7" s="79"/>
    </row>
    <row r="8" spans="1:23">
      <c r="A8" s="22" t="s">
        <v>227</v>
      </c>
      <c r="B8" s="89">
        <f t="shared" ref="B8:F8" si="0">B6*B7</f>
        <v>200000</v>
      </c>
      <c r="C8" s="89">
        <f t="shared" si="0"/>
        <v>400000</v>
      </c>
      <c r="D8" s="89">
        <f t="shared" si="0"/>
        <v>765000</v>
      </c>
      <c r="E8" s="89">
        <f t="shared" si="0"/>
        <v>300000</v>
      </c>
      <c r="F8" s="89">
        <f t="shared" si="0"/>
        <v>160000</v>
      </c>
      <c r="G8" s="89">
        <f>G6*G7</f>
        <v>180000</v>
      </c>
      <c r="H8" s="79"/>
      <c r="I8" s="79"/>
      <c r="L8" s="79"/>
    </row>
    <row r="9" spans="1:23">
      <c r="B9" s="59"/>
      <c r="C9" s="59"/>
      <c r="D9" s="59"/>
      <c r="E9" s="59"/>
      <c r="F9" s="59"/>
      <c r="G9" s="59"/>
      <c r="H9" s="79"/>
      <c r="I9" s="79"/>
      <c r="L9" s="79"/>
    </row>
    <row r="10" spans="1:23" ht="15" customHeight="1">
      <c r="A10" s="22" t="s">
        <v>229</v>
      </c>
      <c r="B10" s="59"/>
      <c r="C10" s="59"/>
      <c r="D10" s="59"/>
      <c r="E10" s="59"/>
      <c r="F10" s="59"/>
      <c r="G10" s="59"/>
      <c r="H10" s="79"/>
      <c r="I10" s="79"/>
      <c r="L10" s="79"/>
    </row>
    <row r="11" spans="1:23">
      <c r="A11" s="23" t="s">
        <v>226</v>
      </c>
      <c r="B11" s="92">
        <v>0.25</v>
      </c>
      <c r="C11" s="92">
        <v>0.2</v>
      </c>
      <c r="D11" s="92">
        <v>0.2</v>
      </c>
      <c r="E11" s="92">
        <v>0.2</v>
      </c>
      <c r="F11" s="92">
        <v>0.2</v>
      </c>
      <c r="G11" s="92">
        <v>0.2</v>
      </c>
      <c r="H11" s="79"/>
      <c r="I11" s="79"/>
      <c r="L11" s="79"/>
    </row>
    <row r="12" spans="1:23" ht="15" customHeight="1">
      <c r="A12" s="22" t="s">
        <v>185</v>
      </c>
      <c r="B12" s="89">
        <f>B8*B11</f>
        <v>50000</v>
      </c>
      <c r="C12" s="89">
        <f t="shared" ref="C12:G12" si="1">C8*C11</f>
        <v>80000</v>
      </c>
      <c r="D12" s="89">
        <f t="shared" si="1"/>
        <v>153000</v>
      </c>
      <c r="E12" s="89">
        <f t="shared" si="1"/>
        <v>60000</v>
      </c>
      <c r="F12" s="89">
        <f t="shared" si="1"/>
        <v>32000</v>
      </c>
      <c r="G12" s="89">
        <f t="shared" si="1"/>
        <v>36000</v>
      </c>
      <c r="H12" s="79"/>
      <c r="I12" s="79"/>
      <c r="J12" s="79"/>
      <c r="K12" s="79"/>
      <c r="L12" s="79"/>
    </row>
    <row r="13" spans="1:23">
      <c r="C13" s="70"/>
      <c r="D13" s="70"/>
      <c r="E13" s="70"/>
      <c r="F13" s="70"/>
      <c r="G13" s="70"/>
      <c r="H13" s="79"/>
      <c r="I13" s="79"/>
      <c r="J13" s="79"/>
      <c r="K13" s="79"/>
      <c r="L13" s="79"/>
    </row>
    <row r="14" spans="1:23">
      <c r="A14" s="22" t="s">
        <v>228</v>
      </c>
      <c r="E14" s="64"/>
      <c r="F14" s="64"/>
      <c r="G14" s="64"/>
      <c r="H14" s="65"/>
      <c r="I14" s="65"/>
      <c r="J14" s="68"/>
      <c r="K14" s="69"/>
      <c r="L14" s="64"/>
    </row>
    <row r="15" spans="1:23">
      <c r="A15" s="23" t="s">
        <v>230</v>
      </c>
      <c r="B15" s="59">
        <f>B6/1800</f>
        <v>111.11111111111111</v>
      </c>
      <c r="C15" s="59">
        <f t="shared" ref="C15:G15" si="2">C6/1800</f>
        <v>55.555555555555557</v>
      </c>
      <c r="D15" s="59">
        <f t="shared" si="2"/>
        <v>47.222222222222221</v>
      </c>
      <c r="E15" s="59">
        <f t="shared" si="2"/>
        <v>41.666666666666664</v>
      </c>
      <c r="F15" s="59">
        <f t="shared" si="2"/>
        <v>44.444444444444443</v>
      </c>
      <c r="G15" s="59">
        <f t="shared" si="2"/>
        <v>33.333333333333336</v>
      </c>
      <c r="H15" s="65"/>
      <c r="I15" s="65"/>
      <c r="J15" s="64"/>
      <c r="K15" s="65"/>
      <c r="L15" s="64"/>
    </row>
    <row r="16" spans="1:23">
      <c r="A16" s="23" t="s">
        <v>231</v>
      </c>
      <c r="B16" s="91">
        <v>0.15</v>
      </c>
      <c r="C16" s="91">
        <v>0.15</v>
      </c>
      <c r="D16" s="91">
        <v>0.15</v>
      </c>
      <c r="E16" s="91">
        <v>0.15</v>
      </c>
      <c r="F16" s="91">
        <v>0.15</v>
      </c>
      <c r="G16" s="91">
        <v>0.15</v>
      </c>
      <c r="H16" s="65"/>
      <c r="I16" s="65"/>
      <c r="J16" s="64"/>
      <c r="K16" s="65"/>
      <c r="L16" s="64"/>
    </row>
    <row r="17" spans="1:12">
      <c r="A17" s="23" t="s">
        <v>232</v>
      </c>
      <c r="B17" s="12">
        <v>8</v>
      </c>
      <c r="C17" s="12">
        <v>6</v>
      </c>
      <c r="D17" s="12">
        <v>3</v>
      </c>
      <c r="E17" s="12">
        <v>2</v>
      </c>
      <c r="F17" s="12">
        <v>2</v>
      </c>
      <c r="G17" s="12">
        <v>2</v>
      </c>
      <c r="H17" s="65"/>
      <c r="I17" s="65"/>
      <c r="J17" s="64"/>
      <c r="K17" s="65"/>
      <c r="L17" s="64"/>
    </row>
    <row r="18" spans="1:12">
      <c r="A18" s="23" t="s">
        <v>233</v>
      </c>
      <c r="B18" s="93">
        <f>B15*B17*(1+B16)</f>
        <v>1022.2222222222222</v>
      </c>
      <c r="C18" s="93">
        <f t="shared" ref="C18:G18" si="3">C15*C17*(1+C16)</f>
        <v>383.33333333333337</v>
      </c>
      <c r="D18" s="93">
        <f t="shared" si="3"/>
        <v>162.91666666666666</v>
      </c>
      <c r="E18" s="93">
        <f t="shared" si="3"/>
        <v>95.833333333333314</v>
      </c>
      <c r="F18" s="93">
        <f t="shared" si="3"/>
        <v>102.22222222222221</v>
      </c>
      <c r="G18" s="93">
        <f t="shared" si="3"/>
        <v>76.666666666666671</v>
      </c>
      <c r="H18" s="65"/>
      <c r="I18" s="65"/>
      <c r="J18" s="64"/>
      <c r="K18" s="65"/>
      <c r="L18" s="64"/>
    </row>
    <row r="19" spans="1:12">
      <c r="A19" s="22" t="s">
        <v>234</v>
      </c>
      <c r="B19" s="89">
        <f>B7*B18</f>
        <v>1022.2222222222222</v>
      </c>
      <c r="C19" s="89">
        <f t="shared" ref="C19:G19" si="4">C7*C18</f>
        <v>1533.3333333333335</v>
      </c>
      <c r="D19" s="89">
        <f t="shared" si="4"/>
        <v>1466.25</v>
      </c>
      <c r="E19" s="89">
        <f t="shared" si="4"/>
        <v>383.33333333333326</v>
      </c>
      <c r="F19" s="89">
        <f t="shared" si="4"/>
        <v>204.44444444444443</v>
      </c>
      <c r="G19" s="89">
        <f t="shared" si="4"/>
        <v>230</v>
      </c>
      <c r="H19" s="65"/>
      <c r="I19" s="65"/>
      <c r="J19" s="64"/>
      <c r="K19" s="65"/>
      <c r="L19" s="64"/>
    </row>
    <row r="20" spans="1:12">
      <c r="C20" s="70"/>
      <c r="D20" s="70"/>
      <c r="E20" s="70"/>
      <c r="F20" s="70"/>
      <c r="G20" s="70"/>
      <c r="H20" s="65"/>
      <c r="I20" s="65"/>
      <c r="J20" s="64"/>
      <c r="K20" s="65"/>
      <c r="L20" s="64"/>
    </row>
    <row r="21" spans="1:12">
      <c r="A21" s="22" t="s">
        <v>235</v>
      </c>
      <c r="B21" s="67"/>
      <c r="C21" s="64"/>
      <c r="D21" s="64"/>
      <c r="E21" s="63"/>
      <c r="F21" s="63"/>
      <c r="G21" s="63"/>
      <c r="H21" s="65"/>
      <c r="I21" s="65"/>
      <c r="J21" s="64"/>
      <c r="K21" s="65"/>
      <c r="L21" s="64"/>
    </row>
    <row r="22" spans="1:12">
      <c r="A22" s="23" t="s">
        <v>236</v>
      </c>
      <c r="B22" s="12">
        <v>8</v>
      </c>
      <c r="C22" s="12">
        <v>4</v>
      </c>
      <c r="D22" s="12">
        <v>3</v>
      </c>
      <c r="E22" s="12">
        <v>3</v>
      </c>
      <c r="F22" s="12">
        <v>3</v>
      </c>
      <c r="G22" s="12">
        <v>3</v>
      </c>
      <c r="H22" s="65"/>
      <c r="I22" s="65"/>
      <c r="J22" s="64"/>
      <c r="K22" s="65"/>
      <c r="L22" s="64"/>
    </row>
    <row r="23" spans="1:12">
      <c r="A23" s="23" t="s">
        <v>237</v>
      </c>
      <c r="B23" s="59">
        <f>B6*(1+B16)/52</f>
        <v>4423.0769230769229</v>
      </c>
      <c r="C23" s="59">
        <f t="shared" ref="C23:G23" si="5">C6*(1+C16)/52</f>
        <v>2211.5384615384614</v>
      </c>
      <c r="D23" s="59">
        <f t="shared" si="5"/>
        <v>1879.8076923076919</v>
      </c>
      <c r="E23" s="59">
        <f t="shared" si="5"/>
        <v>1658.6538461538462</v>
      </c>
      <c r="F23" s="59">
        <f t="shared" si="5"/>
        <v>1769.2307692307693</v>
      </c>
      <c r="G23" s="59">
        <f t="shared" si="5"/>
        <v>1326.9230769230769</v>
      </c>
      <c r="H23" s="65"/>
      <c r="I23" s="65"/>
      <c r="J23" s="64"/>
      <c r="K23" s="65"/>
      <c r="L23" s="64"/>
    </row>
    <row r="24" spans="1:12">
      <c r="A24" s="23" t="s">
        <v>233</v>
      </c>
      <c r="B24" s="94">
        <f>B22*B23</f>
        <v>35384.615384615383</v>
      </c>
      <c r="C24" s="94">
        <f t="shared" ref="C24:G24" si="6">C22*C23</f>
        <v>8846.1538461538457</v>
      </c>
      <c r="D24" s="94">
        <f t="shared" si="6"/>
        <v>5639.4230769230762</v>
      </c>
      <c r="E24" s="94">
        <f t="shared" si="6"/>
        <v>4975.961538461539</v>
      </c>
      <c r="F24" s="94">
        <f t="shared" si="6"/>
        <v>5307.6923076923076</v>
      </c>
      <c r="G24" s="94">
        <f t="shared" si="6"/>
        <v>3980.7692307692305</v>
      </c>
      <c r="H24" s="65"/>
      <c r="I24" s="65"/>
      <c r="J24" s="64"/>
      <c r="K24" s="65"/>
      <c r="L24" s="64"/>
    </row>
    <row r="25" spans="1:12">
      <c r="A25" s="22" t="s">
        <v>234</v>
      </c>
      <c r="B25" s="89">
        <f>B7*B24</f>
        <v>35384.615384615383</v>
      </c>
      <c r="C25" s="89">
        <f t="shared" ref="C25:G25" si="7">C7*C24</f>
        <v>35384.615384615383</v>
      </c>
      <c r="D25" s="89">
        <f t="shared" si="7"/>
        <v>50754.807692307688</v>
      </c>
      <c r="E25" s="89">
        <f t="shared" si="7"/>
        <v>19903.846153846156</v>
      </c>
      <c r="F25" s="89">
        <f t="shared" si="7"/>
        <v>10615.384615384615</v>
      </c>
      <c r="G25" s="89">
        <f t="shared" si="7"/>
        <v>11942.307692307691</v>
      </c>
      <c r="H25" s="65"/>
      <c r="I25" s="65"/>
      <c r="J25" s="64"/>
      <c r="K25" s="65"/>
      <c r="L25" s="64"/>
    </row>
    <row r="26" spans="1:12">
      <c r="B26" s="59"/>
      <c r="C26" s="59"/>
      <c r="D26" s="59"/>
      <c r="E26" s="59"/>
      <c r="F26" s="59"/>
      <c r="G26" s="59"/>
      <c r="H26" s="65"/>
      <c r="I26" s="65"/>
      <c r="J26" s="64"/>
      <c r="K26" s="65"/>
      <c r="L26" s="64"/>
    </row>
    <row r="27" spans="1:12">
      <c r="A27" s="22" t="s">
        <v>238</v>
      </c>
      <c r="B27" s="89">
        <f>B12+B19+B25</f>
        <v>86406.837606837595</v>
      </c>
      <c r="C27" s="89">
        <f t="shared" ref="C27:G27" si="8">C12+C19+C25</f>
        <v>116917.94871794872</v>
      </c>
      <c r="D27" s="89">
        <f t="shared" si="8"/>
        <v>205221.05769230769</v>
      </c>
      <c r="E27" s="89">
        <f t="shared" si="8"/>
        <v>80287.179487179499</v>
      </c>
      <c r="F27" s="89">
        <f t="shared" si="8"/>
        <v>42819.829059829062</v>
      </c>
      <c r="G27" s="89">
        <f t="shared" si="8"/>
        <v>48172.307692307688</v>
      </c>
      <c r="H27" s="65"/>
      <c r="I27" s="65"/>
      <c r="J27" s="64"/>
      <c r="K27" s="65"/>
      <c r="L27" s="64"/>
    </row>
    <row r="28" spans="1:12">
      <c r="B28" s="59"/>
      <c r="C28" s="59"/>
      <c r="D28" s="59"/>
      <c r="E28" s="59"/>
      <c r="F28" s="59"/>
      <c r="G28" s="59"/>
      <c r="H28" s="65"/>
      <c r="I28" s="65"/>
      <c r="J28" s="64"/>
      <c r="K28" s="65"/>
      <c r="L28" s="64"/>
    </row>
    <row r="29" spans="1:12">
      <c r="A29" s="22" t="s">
        <v>239</v>
      </c>
      <c r="B29" s="89"/>
      <c r="C29" s="89"/>
      <c r="D29" s="89"/>
      <c r="E29" s="89"/>
      <c r="F29" s="89"/>
      <c r="G29" s="89">
        <f>SUM(B27:G27)</f>
        <v>579825.16025641025</v>
      </c>
      <c r="H29" s="65"/>
      <c r="I29" s="65"/>
      <c r="J29" s="64"/>
      <c r="K29" s="65"/>
      <c r="L29" s="64"/>
    </row>
    <row r="30" spans="1:12">
      <c r="A30" s="22"/>
      <c r="B30" s="67"/>
      <c r="C30" s="64"/>
      <c r="D30" s="64"/>
      <c r="E30" s="63"/>
      <c r="F30" s="63"/>
      <c r="G30" s="64"/>
      <c r="H30" s="65"/>
      <c r="I30" s="65"/>
      <c r="J30" s="64"/>
      <c r="K30" s="65"/>
      <c r="L30" s="64"/>
    </row>
    <row r="31" spans="1:12">
      <c r="H31" s="65"/>
      <c r="I31" s="65"/>
      <c r="J31" s="64"/>
      <c r="K31" s="65"/>
      <c r="L31" s="64"/>
    </row>
    <row r="34" spans="2:10">
      <c r="H34" s="72"/>
      <c r="I34" s="73"/>
      <c r="J34" s="73"/>
    </row>
    <row r="35" spans="2:10">
      <c r="I35" s="74"/>
      <c r="J35" s="73"/>
    </row>
    <row r="36" spans="2:10">
      <c r="H36" s="75"/>
      <c r="I36" s="75"/>
      <c r="J36" s="73"/>
    </row>
    <row r="37" spans="2:10">
      <c r="C37" s="72"/>
      <c r="D37" s="72"/>
      <c r="E37" s="72"/>
      <c r="F37" s="72"/>
      <c r="G37" s="72"/>
      <c r="H37" s="72"/>
      <c r="I37" s="73"/>
      <c r="J37" s="73"/>
    </row>
    <row r="39" spans="2:10">
      <c r="B39" s="75"/>
      <c r="C39" s="75"/>
      <c r="D39" s="75"/>
      <c r="E39" s="75"/>
      <c r="F39" s="75"/>
      <c r="G39" s="75"/>
    </row>
    <row r="40" spans="2:10">
      <c r="C40" s="72"/>
      <c r="D40" s="72"/>
      <c r="E40" s="72"/>
      <c r="F40" s="72"/>
      <c r="G40" s="72"/>
    </row>
  </sheetData>
  <mergeCells count="4">
    <mergeCell ref="D3:D4"/>
    <mergeCell ref="E3:E4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&amp;R&amp;G</oddHeader>
    <oddFooter>&amp;C&amp;9&amp;A&amp;R&amp;9Page &amp;P of 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50809-BB0E-4D4F-BA45-7B7B5A1BF4D7}">
  <dimension ref="A1:AE48"/>
  <sheetViews>
    <sheetView showGridLines="0" view="pageBreakPreview" zoomScale="90" zoomScaleNormal="100" zoomScaleSheetLayoutView="90" workbookViewId="0">
      <selection activeCell="E17" sqref="E17"/>
    </sheetView>
  </sheetViews>
  <sheetFormatPr defaultRowHeight="14.5"/>
  <cols>
    <col min="1" max="1" width="32.81640625" bestFit="1" customWidth="1"/>
    <col min="2" max="2" width="6.1796875" bestFit="1" customWidth="1"/>
    <col min="3" max="3" width="9.1796875" customWidth="1"/>
  </cols>
  <sheetData>
    <row r="1" spans="1:31" ht="21">
      <c r="A1" s="17" t="s">
        <v>269</v>
      </c>
      <c r="B1" s="17"/>
    </row>
    <row r="3" spans="1:31" ht="17">
      <c r="A3" s="7" t="s">
        <v>332</v>
      </c>
      <c r="D3" s="7" t="s">
        <v>249</v>
      </c>
    </row>
    <row r="4" spans="1:31">
      <c r="A4" t="s">
        <v>241</v>
      </c>
      <c r="B4" s="19">
        <v>0.1</v>
      </c>
      <c r="D4" s="1" t="s">
        <v>263</v>
      </c>
      <c r="G4" s="6" t="s">
        <v>254</v>
      </c>
      <c r="H4" s="118" t="s">
        <v>333</v>
      </c>
      <c r="I4" s="6" t="s">
        <v>255</v>
      </c>
      <c r="J4" s="6" t="s">
        <v>256</v>
      </c>
      <c r="K4" s="6" t="s">
        <v>72</v>
      </c>
      <c r="L4" s="6" t="s">
        <v>258</v>
      </c>
    </row>
    <row r="5" spans="1:31">
      <c r="A5" t="s">
        <v>243</v>
      </c>
      <c r="B5" s="19">
        <v>0.03</v>
      </c>
      <c r="D5" s="1"/>
      <c r="G5" s="6"/>
      <c r="I5" s="6" t="s">
        <v>256</v>
      </c>
      <c r="K5" s="6" t="s">
        <v>75</v>
      </c>
      <c r="L5" s="6" t="s">
        <v>72</v>
      </c>
    </row>
    <row r="6" spans="1:31">
      <c r="A6" t="s">
        <v>331</v>
      </c>
      <c r="B6" s="15">
        <v>0.01</v>
      </c>
      <c r="D6" t="s">
        <v>250</v>
      </c>
      <c r="G6" s="59">
        <f>'Net tangible assets'!B5</f>
        <v>2568</v>
      </c>
      <c r="H6" s="119" t="s">
        <v>334</v>
      </c>
      <c r="I6" s="15">
        <v>4.2000000000000003E-2</v>
      </c>
      <c r="J6" s="59">
        <f>G6*I6</f>
        <v>107.85600000000001</v>
      </c>
      <c r="K6" s="59">
        <f>'Cash flows'!D7</f>
        <v>27000</v>
      </c>
      <c r="L6" s="14">
        <f>J6/K6</f>
        <v>3.9946666666666672E-3</v>
      </c>
    </row>
    <row r="7" spans="1:31">
      <c r="D7" t="s">
        <v>251</v>
      </c>
      <c r="G7" s="59">
        <f>'Net tangible assets'!B4</f>
        <v>45627</v>
      </c>
      <c r="H7" s="119" t="s">
        <v>334</v>
      </c>
      <c r="I7" s="15">
        <v>5.6000000000000001E-2</v>
      </c>
      <c r="J7" s="59">
        <f>G7*I7</f>
        <v>2555.1120000000001</v>
      </c>
      <c r="K7" s="59">
        <f>K6</f>
        <v>27000</v>
      </c>
      <c r="L7" s="14">
        <f t="shared" ref="L7:L10" si="0">J7/K7</f>
        <v>9.4633777777777775E-2</v>
      </c>
    </row>
    <row r="8" spans="1:31">
      <c r="D8" t="s">
        <v>252</v>
      </c>
      <c r="G8" s="59">
        <f>Brandname!C17</f>
        <v>29570.773723770195</v>
      </c>
      <c r="H8" s="119" t="s">
        <v>334</v>
      </c>
      <c r="I8" s="119" t="s">
        <v>334</v>
      </c>
      <c r="J8" s="119" t="s">
        <v>334</v>
      </c>
      <c r="K8" s="59">
        <f t="shared" ref="K8:K10" si="1">K7</f>
        <v>27000</v>
      </c>
      <c r="L8" s="14">
        <f>Brandname!B8*(1-Brandname!B11)</f>
        <v>6.9999999999999993E-2</v>
      </c>
    </row>
    <row r="9" spans="1:31">
      <c r="D9" t="s">
        <v>145</v>
      </c>
      <c r="G9" s="59">
        <f>Software!G35</f>
        <v>8079.9846400000006</v>
      </c>
      <c r="H9" s="15">
        <v>0.02</v>
      </c>
      <c r="I9" s="15">
        <f>'Cash flows'!$B$24+H9</f>
        <v>0.119245</v>
      </c>
      <c r="J9" s="59">
        <f>G9*I9</f>
        <v>963.4977683968001</v>
      </c>
      <c r="K9" s="59">
        <f t="shared" si="1"/>
        <v>27000</v>
      </c>
      <c r="L9" s="14">
        <f t="shared" si="0"/>
        <v>3.5685102533214816E-2</v>
      </c>
    </row>
    <row r="10" spans="1:31">
      <c r="D10" t="s">
        <v>253</v>
      </c>
      <c r="G10" s="59">
        <f>Workforce!G29/1000</f>
        <v>579.8251602564103</v>
      </c>
      <c r="H10" s="15">
        <v>0.02</v>
      </c>
      <c r="I10" s="15">
        <f>'Cash flows'!$B$24+H10</f>
        <v>0.119245</v>
      </c>
      <c r="J10" s="59">
        <f>G10*I10</f>
        <v>69.141251234775652</v>
      </c>
      <c r="K10" s="59">
        <f t="shared" si="1"/>
        <v>27000</v>
      </c>
      <c r="L10" s="101">
        <f t="shared" si="0"/>
        <v>2.5607870827694685E-3</v>
      </c>
    </row>
    <row r="11" spans="1:31">
      <c r="D11" s="1" t="s">
        <v>185</v>
      </c>
      <c r="L11" s="102">
        <f>SUM(L6:L10)</f>
        <v>0.20687433406042871</v>
      </c>
    </row>
    <row r="12" spans="1:31" ht="17">
      <c r="A12" s="7" t="s">
        <v>264</v>
      </c>
    </row>
    <row r="13" spans="1:31">
      <c r="A13" s="5" t="s">
        <v>12</v>
      </c>
      <c r="B13" s="5"/>
      <c r="C13" s="6" t="s">
        <v>75</v>
      </c>
      <c r="D13" s="6" t="s">
        <v>85</v>
      </c>
      <c r="E13" s="6" t="s">
        <v>86</v>
      </c>
      <c r="F13" s="6" t="s">
        <v>87</v>
      </c>
      <c r="G13" s="6" t="s">
        <v>88</v>
      </c>
      <c r="H13" s="6" t="s">
        <v>89</v>
      </c>
      <c r="I13" s="6" t="s">
        <v>300</v>
      </c>
      <c r="J13" s="6" t="s">
        <v>301</v>
      </c>
      <c r="K13" s="6" t="s">
        <v>302</v>
      </c>
      <c r="L13" s="6" t="s">
        <v>303</v>
      </c>
      <c r="M13" s="6" t="s">
        <v>304</v>
      </c>
      <c r="N13" s="6" t="s">
        <v>305</v>
      </c>
      <c r="O13" s="6" t="s">
        <v>306</v>
      </c>
      <c r="P13" s="6" t="s">
        <v>307</v>
      </c>
      <c r="Q13" s="6" t="s">
        <v>308</v>
      </c>
      <c r="R13" s="6" t="s">
        <v>309</v>
      </c>
      <c r="S13" s="6" t="s">
        <v>310</v>
      </c>
      <c r="T13" s="6" t="s">
        <v>311</v>
      </c>
      <c r="U13" s="6" t="s">
        <v>312</v>
      </c>
      <c r="V13" s="6" t="s">
        <v>313</v>
      </c>
      <c r="W13" s="6" t="s">
        <v>316</v>
      </c>
      <c r="X13" s="6" t="s">
        <v>317</v>
      </c>
      <c r="Y13" s="6" t="s">
        <v>318</v>
      </c>
      <c r="Z13" s="6" t="s">
        <v>319</v>
      </c>
      <c r="AA13" s="6" t="s">
        <v>320</v>
      </c>
      <c r="AB13" s="6" t="s">
        <v>321</v>
      </c>
      <c r="AC13" s="6" t="s">
        <v>322</v>
      </c>
      <c r="AD13" s="6" t="s">
        <v>323</v>
      </c>
      <c r="AE13" s="6" t="s">
        <v>324</v>
      </c>
    </row>
    <row r="14" spans="1:31">
      <c r="A14" s="23" t="s">
        <v>297</v>
      </c>
      <c r="B14" s="23"/>
      <c r="C14" s="30">
        <f>+'Cash flows'!C7</f>
        <v>25000</v>
      </c>
      <c r="D14" s="30">
        <f>C17</f>
        <v>26400</v>
      </c>
      <c r="E14" s="30">
        <f t="shared" ref="E14:L14" si="2">D17</f>
        <v>24472.799999999999</v>
      </c>
      <c r="F14" s="30">
        <f t="shared" si="2"/>
        <v>22686.285599999999</v>
      </c>
      <c r="G14" s="30">
        <f t="shared" si="2"/>
        <v>21030.186751199999</v>
      </c>
      <c r="H14" s="30">
        <f t="shared" si="2"/>
        <v>19494.983118362397</v>
      </c>
      <c r="I14" s="30">
        <f t="shared" si="2"/>
        <v>18071.849350721943</v>
      </c>
      <c r="J14" s="30">
        <f t="shared" si="2"/>
        <v>16752.604348119239</v>
      </c>
      <c r="K14" s="30">
        <f t="shared" si="2"/>
        <v>15529.664230706534</v>
      </c>
      <c r="L14" s="30">
        <f t="shared" si="2"/>
        <v>14395.998741864958</v>
      </c>
      <c r="M14" s="30">
        <f t="shared" ref="M14:T14" si="3">L17</f>
        <v>13345.090833708815</v>
      </c>
      <c r="N14" s="30">
        <f t="shared" si="3"/>
        <v>12370.899202848072</v>
      </c>
      <c r="O14" s="30">
        <f t="shared" si="3"/>
        <v>11467.823561040163</v>
      </c>
      <c r="P14" s="30">
        <f t="shared" si="3"/>
        <v>10630.672441084231</v>
      </c>
      <c r="Q14" s="30">
        <f t="shared" si="3"/>
        <v>9854.633352885081</v>
      </c>
      <c r="R14" s="30">
        <f t="shared" si="3"/>
        <v>9135.2451181244705</v>
      </c>
      <c r="S14" s="30">
        <f t="shared" si="3"/>
        <v>8468.3722245013851</v>
      </c>
      <c r="T14" s="30">
        <f t="shared" si="3"/>
        <v>7850.1810521127836</v>
      </c>
      <c r="U14" s="30">
        <f t="shared" ref="U14:AE14" si="4">T17</f>
        <v>7277.1178353085506</v>
      </c>
      <c r="V14" s="30">
        <f t="shared" si="4"/>
        <v>6745.8882333310266</v>
      </c>
      <c r="W14" s="30">
        <f t="shared" si="4"/>
        <v>6253.4383922978614</v>
      </c>
      <c r="X14" s="30">
        <f t="shared" si="4"/>
        <v>5796.9373896601173</v>
      </c>
      <c r="Y14" s="30">
        <f t="shared" si="4"/>
        <v>5373.7609602149287</v>
      </c>
      <c r="Z14" s="30">
        <f t="shared" si="4"/>
        <v>4981.4764101192386</v>
      </c>
      <c r="AA14" s="30">
        <f t="shared" si="4"/>
        <v>4617.8286321805344</v>
      </c>
      <c r="AB14" s="30">
        <f t="shared" si="4"/>
        <v>4280.7271420313555</v>
      </c>
      <c r="AC14" s="30">
        <f t="shared" si="4"/>
        <v>3968.2340606630664</v>
      </c>
      <c r="AD14" s="30">
        <f t="shared" si="4"/>
        <v>3678.5529742346625</v>
      </c>
      <c r="AE14" s="30">
        <f t="shared" si="4"/>
        <v>3410.0186071155322</v>
      </c>
    </row>
    <row r="15" spans="1:31">
      <c r="A15" s="23" t="s">
        <v>240</v>
      </c>
      <c r="B15" s="23"/>
      <c r="C15" s="59">
        <f t="shared" ref="C15:AE15" si="5">C14*$B$5</f>
        <v>750</v>
      </c>
      <c r="D15" s="59">
        <f t="shared" si="5"/>
        <v>792</v>
      </c>
      <c r="E15" s="59">
        <f t="shared" si="5"/>
        <v>734.18399999999997</v>
      </c>
      <c r="F15" s="59">
        <f t="shared" si="5"/>
        <v>680.5885679999999</v>
      </c>
      <c r="G15" s="59">
        <f t="shared" si="5"/>
        <v>630.90560253599995</v>
      </c>
      <c r="H15" s="59">
        <f t="shared" si="5"/>
        <v>584.8494935508719</v>
      </c>
      <c r="I15" s="59">
        <f t="shared" si="5"/>
        <v>542.15548052165832</v>
      </c>
      <c r="J15" s="59">
        <f t="shared" si="5"/>
        <v>502.57813044357715</v>
      </c>
      <c r="K15" s="59">
        <f t="shared" si="5"/>
        <v>465.88992692119598</v>
      </c>
      <c r="L15" s="59">
        <f t="shared" si="5"/>
        <v>431.87996225594873</v>
      </c>
      <c r="M15" s="59">
        <f t="shared" si="5"/>
        <v>400.35272501126445</v>
      </c>
      <c r="N15" s="59">
        <f t="shared" si="5"/>
        <v>371.12697608544215</v>
      </c>
      <c r="O15" s="59">
        <f t="shared" si="5"/>
        <v>344.03470683120486</v>
      </c>
      <c r="P15" s="59">
        <f t="shared" si="5"/>
        <v>318.92017323252691</v>
      </c>
      <c r="Q15" s="59">
        <f t="shared" si="5"/>
        <v>295.63900058655241</v>
      </c>
      <c r="R15" s="59">
        <f t="shared" si="5"/>
        <v>274.05735354373411</v>
      </c>
      <c r="S15" s="59">
        <f t="shared" si="5"/>
        <v>254.05116673504153</v>
      </c>
      <c r="T15" s="59">
        <f t="shared" si="5"/>
        <v>235.5054315633835</v>
      </c>
      <c r="U15" s="59">
        <f t="shared" si="5"/>
        <v>218.31353505925651</v>
      </c>
      <c r="V15" s="59">
        <f t="shared" si="5"/>
        <v>202.37664699993078</v>
      </c>
      <c r="W15" s="59">
        <f t="shared" si="5"/>
        <v>187.60315176893585</v>
      </c>
      <c r="X15" s="59">
        <f t="shared" si="5"/>
        <v>173.90812168980352</v>
      </c>
      <c r="Y15" s="59">
        <f t="shared" si="5"/>
        <v>161.21282880644785</v>
      </c>
      <c r="Z15" s="59">
        <f t="shared" si="5"/>
        <v>149.44429230357716</v>
      </c>
      <c r="AA15" s="59">
        <f t="shared" si="5"/>
        <v>138.53485896541602</v>
      </c>
      <c r="AB15" s="59">
        <f t="shared" si="5"/>
        <v>128.42181426094066</v>
      </c>
      <c r="AC15" s="59">
        <f t="shared" si="5"/>
        <v>119.047021819892</v>
      </c>
      <c r="AD15" s="59">
        <f t="shared" si="5"/>
        <v>110.35658922703988</v>
      </c>
      <c r="AE15" s="59">
        <f t="shared" si="5"/>
        <v>102.30055821346596</v>
      </c>
    </row>
    <row r="16" spans="1:31">
      <c r="A16" t="s">
        <v>242</v>
      </c>
      <c r="C16" s="96">
        <f>-C19*$B$4/2</f>
        <v>-1350</v>
      </c>
      <c r="D16" s="96">
        <f t="shared" ref="D16:AE16" si="6">-(C17+D15)*$B$4</f>
        <v>-2719.2000000000003</v>
      </c>
      <c r="E16" s="96">
        <f t="shared" si="6"/>
        <v>-2520.6984000000002</v>
      </c>
      <c r="F16" s="96">
        <f t="shared" si="6"/>
        <v>-2336.6874167999999</v>
      </c>
      <c r="G16" s="96">
        <f t="shared" si="6"/>
        <v>-2166.1092353735999</v>
      </c>
      <c r="H16" s="96">
        <f t="shared" si="6"/>
        <v>-2007.9832611913271</v>
      </c>
      <c r="I16" s="96">
        <f t="shared" si="6"/>
        <v>-1861.4004831243601</v>
      </c>
      <c r="J16" s="96">
        <f t="shared" si="6"/>
        <v>-1725.5182478562817</v>
      </c>
      <c r="K16" s="96">
        <f t="shared" si="6"/>
        <v>-1599.555415762773</v>
      </c>
      <c r="L16" s="96">
        <f t="shared" si="6"/>
        <v>-1482.7878704120908</v>
      </c>
      <c r="M16" s="96">
        <f t="shared" si="6"/>
        <v>-1374.5443558720081</v>
      </c>
      <c r="N16" s="96">
        <f t="shared" si="6"/>
        <v>-1274.2026178933515</v>
      </c>
      <c r="O16" s="96">
        <f t="shared" si="6"/>
        <v>-1181.1858267871369</v>
      </c>
      <c r="P16" s="96">
        <f t="shared" si="6"/>
        <v>-1094.9592614316759</v>
      </c>
      <c r="Q16" s="96">
        <f t="shared" si="6"/>
        <v>-1015.0272353471634</v>
      </c>
      <c r="R16" s="96">
        <f t="shared" si="6"/>
        <v>-940.93024716682055</v>
      </c>
      <c r="S16" s="96">
        <f t="shared" si="6"/>
        <v>-872.24233912364275</v>
      </c>
      <c r="T16" s="96">
        <f t="shared" si="6"/>
        <v>-808.56864836761679</v>
      </c>
      <c r="U16" s="96">
        <f t="shared" si="6"/>
        <v>-749.54313703678076</v>
      </c>
      <c r="V16" s="96">
        <f t="shared" si="6"/>
        <v>-694.82648803309576</v>
      </c>
      <c r="W16" s="96">
        <f t="shared" si="6"/>
        <v>-644.10415440667975</v>
      </c>
      <c r="X16" s="96">
        <f t="shared" si="6"/>
        <v>-597.08455113499213</v>
      </c>
      <c r="Y16" s="96">
        <f t="shared" si="6"/>
        <v>-553.49737890213771</v>
      </c>
      <c r="Z16" s="96">
        <f t="shared" si="6"/>
        <v>-513.09207024228158</v>
      </c>
      <c r="AA16" s="96">
        <f t="shared" si="6"/>
        <v>-475.63634911459508</v>
      </c>
      <c r="AB16" s="96">
        <f t="shared" si="6"/>
        <v>-440.91489562922965</v>
      </c>
      <c r="AC16" s="96">
        <f t="shared" si="6"/>
        <v>-408.72810824829588</v>
      </c>
      <c r="AD16" s="96">
        <f t="shared" si="6"/>
        <v>-378.89095634617024</v>
      </c>
      <c r="AE16" s="96">
        <f t="shared" si="6"/>
        <v>-351.23191653289985</v>
      </c>
    </row>
    <row r="17" spans="1:31">
      <c r="A17" s="23" t="s">
        <v>244</v>
      </c>
      <c r="C17" s="97">
        <f>C19+SUM(C15:C16)</f>
        <v>26400</v>
      </c>
      <c r="D17" s="97">
        <f>C17+SUM(D15:D16)</f>
        <v>24472.799999999999</v>
      </c>
      <c r="E17" s="97">
        <f t="shared" ref="E17:H17" si="7">D17+SUM(E15:E16)</f>
        <v>22686.285599999999</v>
      </c>
      <c r="F17" s="97">
        <f t="shared" si="7"/>
        <v>21030.186751199999</v>
      </c>
      <c r="G17" s="97">
        <f t="shared" si="7"/>
        <v>19494.983118362397</v>
      </c>
      <c r="H17" s="97">
        <f t="shared" si="7"/>
        <v>18071.849350721943</v>
      </c>
      <c r="I17" s="97">
        <f t="shared" ref="I17" si="8">H17+SUM(I15:I16)</f>
        <v>16752.604348119239</v>
      </c>
      <c r="J17" s="97">
        <f t="shared" ref="J17" si="9">I17+SUM(J15:J16)</f>
        <v>15529.664230706534</v>
      </c>
      <c r="K17" s="97">
        <f t="shared" ref="K17" si="10">J17+SUM(K15:K16)</f>
        <v>14395.998741864958</v>
      </c>
      <c r="L17" s="97">
        <f t="shared" ref="L17" si="11">K17+SUM(L15:L16)</f>
        <v>13345.090833708815</v>
      </c>
      <c r="M17" s="97">
        <f t="shared" ref="M17" si="12">L17+SUM(M15:M16)</f>
        <v>12370.899202848072</v>
      </c>
      <c r="N17" s="97">
        <f t="shared" ref="N17" si="13">M17+SUM(N15:N16)</f>
        <v>11467.823561040163</v>
      </c>
      <c r="O17" s="97">
        <f t="shared" ref="O17" si="14">N17+SUM(O15:O16)</f>
        <v>10630.672441084231</v>
      </c>
      <c r="P17" s="97">
        <f t="shared" ref="P17" si="15">O17+SUM(P15:P16)</f>
        <v>9854.633352885081</v>
      </c>
      <c r="Q17" s="97">
        <f t="shared" ref="Q17" si="16">P17+SUM(Q15:Q16)</f>
        <v>9135.2451181244705</v>
      </c>
      <c r="R17" s="97">
        <f t="shared" ref="R17" si="17">Q17+SUM(R15:R16)</f>
        <v>8468.3722245013851</v>
      </c>
      <c r="S17" s="97">
        <f t="shared" ref="S17" si="18">R17+SUM(S15:S16)</f>
        <v>7850.1810521127836</v>
      </c>
      <c r="T17" s="97">
        <f t="shared" ref="T17" si="19">S17+SUM(T15:T16)</f>
        <v>7277.1178353085506</v>
      </c>
      <c r="U17" s="97">
        <f t="shared" ref="U17" si="20">T17+SUM(U15:U16)</f>
        <v>6745.8882333310266</v>
      </c>
      <c r="V17" s="97">
        <f t="shared" ref="V17" si="21">U17+SUM(V15:V16)</f>
        <v>6253.4383922978614</v>
      </c>
      <c r="W17" s="97">
        <f t="shared" ref="W17" si="22">V17+SUM(W15:W16)</f>
        <v>5796.9373896601173</v>
      </c>
      <c r="X17" s="97">
        <f t="shared" ref="X17" si="23">W17+SUM(X15:X16)</f>
        <v>5373.7609602149287</v>
      </c>
      <c r="Y17" s="97">
        <f t="shared" ref="Y17" si="24">X17+SUM(Y15:Y16)</f>
        <v>4981.4764101192386</v>
      </c>
      <c r="Z17" s="97">
        <f t="shared" ref="Z17" si="25">Y17+SUM(Z15:Z16)</f>
        <v>4617.8286321805344</v>
      </c>
      <c r="AA17" s="97">
        <f t="shared" ref="AA17" si="26">Z17+SUM(AA15:AA16)</f>
        <v>4280.7271420313555</v>
      </c>
      <c r="AB17" s="97">
        <f t="shared" ref="AB17" si="27">AA17+SUM(AB15:AB16)</f>
        <v>3968.2340606630664</v>
      </c>
      <c r="AC17" s="97">
        <f t="shared" ref="AC17" si="28">AB17+SUM(AC15:AC16)</f>
        <v>3678.5529742346625</v>
      </c>
      <c r="AD17" s="97">
        <f t="shared" ref="AD17" si="29">AC17+SUM(AD15:AD16)</f>
        <v>3410.0186071155322</v>
      </c>
      <c r="AE17" s="97">
        <f t="shared" ref="AE17" si="30">AD17+SUM(AE15:AE16)</f>
        <v>3161.0872487960983</v>
      </c>
    </row>
    <row r="18" spans="1:31">
      <c r="A18" s="23" t="s">
        <v>298</v>
      </c>
      <c r="C18" s="97">
        <f>C19-C17</f>
        <v>600</v>
      </c>
      <c r="D18" s="97">
        <f>D19-D17</f>
        <v>5527.2000000000007</v>
      </c>
      <c r="E18" s="97">
        <f t="shared" ref="E18:L18" si="31">E19-E17</f>
        <v>10313.714400000001</v>
      </c>
      <c r="F18" s="97">
        <f t="shared" si="31"/>
        <v>13469.813248800001</v>
      </c>
      <c r="G18" s="97">
        <f t="shared" si="31"/>
        <v>16505.016881637603</v>
      </c>
      <c r="H18" s="97">
        <f t="shared" si="31"/>
        <v>19428.150649278057</v>
      </c>
      <c r="I18" s="97">
        <f t="shared" si="31"/>
        <v>21872.395651880761</v>
      </c>
      <c r="J18" s="97">
        <f t="shared" si="31"/>
        <v>24254.085769293466</v>
      </c>
      <c r="K18" s="97">
        <f t="shared" si="31"/>
        <v>26581.263758135046</v>
      </c>
      <c r="L18" s="97">
        <f t="shared" si="31"/>
        <v>28861.48954129119</v>
      </c>
      <c r="M18" s="97">
        <f t="shared" ref="M18" si="32">M19-M17</f>
        <v>31101.878583401936</v>
      </c>
      <c r="N18" s="97">
        <f t="shared" ref="N18" si="33">N19-N17</f>
        <v>33309.137558797345</v>
      </c>
      <c r="O18" s="97">
        <f t="shared" ref="O18" si="34">O19-O17</f>
        <v>35489.597512348402</v>
      </c>
      <c r="P18" s="97">
        <f t="shared" ref="P18" si="35">P19-P17</f>
        <v>37649.244699150528</v>
      </c>
      <c r="Q18" s="97">
        <f t="shared" ref="Q18" si="36">Q19-Q17</f>
        <v>39793.749275472212</v>
      </c>
      <c r="R18" s="97">
        <f t="shared" ref="R18" si="37">R19-R17</f>
        <v>41928.492000903199</v>
      </c>
      <c r="S18" s="97">
        <f t="shared" ref="S18" si="38">S19-S17</f>
        <v>44058.589100053941</v>
      </c>
      <c r="T18" s="97">
        <f t="shared" ref="T18" si="39">T19-T17</f>
        <v>46188.915421423182</v>
      </c>
      <c r="U18" s="97">
        <f t="shared" ref="U18" si="40">U19-U17</f>
        <v>48324.12602110266</v>
      </c>
      <c r="V18" s="97">
        <f t="shared" ref="V18" si="41">V19-V17</f>
        <v>50468.676289768839</v>
      </c>
      <c r="W18" s="97">
        <f t="shared" ref="W18" si="42">W19-W17</f>
        <v>52626.840732868586</v>
      </c>
      <c r="X18" s="97">
        <f t="shared" ref="X18" si="43">X19-X17</f>
        <v>54802.730505989632</v>
      </c>
      <c r="Y18" s="97">
        <f t="shared" ref="Y18" si="44">Y19-Y17</f>
        <v>57000.30980007146</v>
      </c>
      <c r="Z18" s="97">
        <f t="shared" ref="Z18" si="45">Z19-Z17</f>
        <v>59223.41116431589</v>
      </c>
      <c r="AA18" s="97">
        <f t="shared" ref="AA18" si="46">AA19-AA17</f>
        <v>61475.74984835997</v>
      </c>
      <c r="AB18" s="97">
        <f t="shared" ref="AB18" si="47">AB19-AB17</f>
        <v>63760.937239440005</v>
      </c>
      <c r="AC18" s="97">
        <f t="shared" ref="AC18" si="48">AC19-AC17</f>
        <v>66082.493464871513</v>
      </c>
      <c r="AD18" s="97">
        <f t="shared" ref="AD18" si="49">AD19-AD17</f>
        <v>68443.859225163818</v>
      </c>
      <c r="AE18" s="97">
        <f t="shared" ref="AE18" si="50">AE19-AE17</f>
        <v>70848.406918451627</v>
      </c>
    </row>
    <row r="19" spans="1:31">
      <c r="A19" s="23" t="s">
        <v>299</v>
      </c>
      <c r="C19" s="115">
        <f>'Cash flows'!D7</f>
        <v>27000</v>
      </c>
      <c r="D19" s="115">
        <f>'Cash flows'!E7</f>
        <v>30000</v>
      </c>
      <c r="E19" s="115">
        <f>'Cash flows'!F7</f>
        <v>33000</v>
      </c>
      <c r="F19" s="115">
        <f>'Cash flows'!G7</f>
        <v>34500</v>
      </c>
      <c r="G19" s="115">
        <f>'Cash flows'!H7</f>
        <v>36000</v>
      </c>
      <c r="H19" s="115">
        <f>'Cash flows'!I7</f>
        <v>37500</v>
      </c>
      <c r="I19" s="115">
        <f>H19*(1+'Cash flows'!$B$4)</f>
        <v>38625</v>
      </c>
      <c r="J19" s="115">
        <f>I19*(1+'Cash flows'!$B$4)</f>
        <v>39783.75</v>
      </c>
      <c r="K19" s="115">
        <f>J19*(1+'Cash flows'!$B$4)</f>
        <v>40977.262500000004</v>
      </c>
      <c r="L19" s="115">
        <f>K19*(1+'Cash flows'!$B$4)</f>
        <v>42206.580375000005</v>
      </c>
      <c r="M19" s="115">
        <f>L19*(1+'Cash flows'!$B$4)</f>
        <v>43472.777786250008</v>
      </c>
      <c r="N19" s="115">
        <f>M19*(1+'Cash flows'!$B$4)</f>
        <v>44776.961119837506</v>
      </c>
      <c r="O19" s="115">
        <f>N19*(1+'Cash flows'!$B$4)</f>
        <v>46120.269953432631</v>
      </c>
      <c r="P19" s="115">
        <f>O19*(1+'Cash flows'!$B$4)</f>
        <v>47503.878052035609</v>
      </c>
      <c r="Q19" s="115">
        <f>P19*(1+'Cash flows'!$B$4)</f>
        <v>48928.99439359668</v>
      </c>
      <c r="R19" s="115">
        <f>Q19*(1+'Cash flows'!$B$4)</f>
        <v>50396.864225404584</v>
      </c>
      <c r="S19" s="115">
        <f>R19*(1+'Cash flows'!$B$4)</f>
        <v>51908.770152166726</v>
      </c>
      <c r="T19" s="115">
        <f>S19*(1+'Cash flows'!$B$4)</f>
        <v>53466.033256731731</v>
      </c>
      <c r="U19" s="115">
        <f>T19*(1+'Cash flows'!$B$4)</f>
        <v>55070.014254433685</v>
      </c>
      <c r="V19" s="115">
        <f>U19*(1+'Cash flows'!$B$4)</f>
        <v>56722.114682066698</v>
      </c>
      <c r="W19" s="115">
        <f>V19*(1+'Cash flows'!$B$4)</f>
        <v>58423.778122528704</v>
      </c>
      <c r="X19" s="115">
        <f>W19*(1+'Cash flows'!$B$4)</f>
        <v>60176.491466204563</v>
      </c>
      <c r="Y19" s="115">
        <f>X19*(1+'Cash flows'!$B$4)</f>
        <v>61981.786210190701</v>
      </c>
      <c r="Z19" s="115">
        <f>Y19*(1+'Cash flows'!$B$4)</f>
        <v>63841.239796496426</v>
      </c>
      <c r="AA19" s="115">
        <f>Z19*(1+'Cash flows'!$B$4)</f>
        <v>65756.476990391326</v>
      </c>
      <c r="AB19" s="115">
        <f>AA19*(1+'Cash flows'!$B$4)</f>
        <v>67729.171300103073</v>
      </c>
      <c r="AC19" s="115">
        <f>AB19*(1+'Cash flows'!$B$4)</f>
        <v>69761.046439106169</v>
      </c>
      <c r="AD19" s="115">
        <f>AC19*(1+'Cash flows'!$B$4)</f>
        <v>71853.877832279351</v>
      </c>
      <c r="AE19" s="115">
        <f>AD19*(1+'Cash flows'!$B$4)</f>
        <v>74009.494167247729</v>
      </c>
    </row>
    <row r="20" spans="1:31">
      <c r="A20" s="23"/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31">
      <c r="A21" t="s">
        <v>245</v>
      </c>
      <c r="C21" s="103">
        <f>'Cash flows'!D13/'Cash flows'!D7</f>
        <v>0.40370370370370373</v>
      </c>
      <c r="D21" s="103">
        <f>'Cash flows'!E13/'Cash flows'!E7</f>
        <v>0.40333333333333332</v>
      </c>
      <c r="E21" s="103">
        <f>'Cash flows'!F13/'Cash flows'!F7</f>
        <v>0.40757575757575759</v>
      </c>
      <c r="F21" s="103">
        <f>'Cash flows'!G13/'Cash flows'!G7</f>
        <v>0.4072463768115942</v>
      </c>
      <c r="G21" s="103">
        <f>'Cash flows'!H13/'Cash flows'!H7</f>
        <v>0.40277777777777779</v>
      </c>
      <c r="H21" s="103">
        <f>'Cash flows'!I13/'Cash flows'!I7</f>
        <v>0.41466666666666668</v>
      </c>
      <c r="I21" s="104">
        <f>H21</f>
        <v>0.41466666666666668</v>
      </c>
      <c r="J21" s="103">
        <f>I21</f>
        <v>0.41466666666666668</v>
      </c>
      <c r="K21" s="103">
        <f t="shared" ref="K21:L21" si="51">J21</f>
        <v>0.41466666666666668</v>
      </c>
      <c r="L21" s="103">
        <f t="shared" si="51"/>
        <v>0.41466666666666668</v>
      </c>
      <c r="M21" s="103">
        <f t="shared" ref="M21" si="52">L21</f>
        <v>0.41466666666666668</v>
      </c>
      <c r="N21" s="103">
        <f t="shared" ref="N21" si="53">M21</f>
        <v>0.41466666666666668</v>
      </c>
      <c r="O21" s="103">
        <f t="shared" ref="O21" si="54">N21</f>
        <v>0.41466666666666668</v>
      </c>
      <c r="P21" s="103">
        <f t="shared" ref="P21" si="55">O21</f>
        <v>0.41466666666666668</v>
      </c>
      <c r="Q21" s="103">
        <f t="shared" ref="Q21" si="56">P21</f>
        <v>0.41466666666666668</v>
      </c>
      <c r="R21" s="103">
        <f t="shared" ref="R21" si="57">Q21</f>
        <v>0.41466666666666668</v>
      </c>
      <c r="S21" s="103">
        <f t="shared" ref="S21" si="58">R21</f>
        <v>0.41466666666666668</v>
      </c>
      <c r="T21" s="103">
        <f t="shared" ref="T21" si="59">S21</f>
        <v>0.41466666666666668</v>
      </c>
      <c r="U21" s="103">
        <f t="shared" ref="U21" si="60">T21</f>
        <v>0.41466666666666668</v>
      </c>
      <c r="V21" s="103">
        <f t="shared" ref="V21" si="61">U21</f>
        <v>0.41466666666666668</v>
      </c>
      <c r="W21" s="103">
        <f t="shared" ref="W21" si="62">V21</f>
        <v>0.41466666666666668</v>
      </c>
      <c r="X21" s="103">
        <f t="shared" ref="X21" si="63">W21</f>
        <v>0.41466666666666668</v>
      </c>
      <c r="Y21" s="103">
        <f t="shared" ref="Y21" si="64">X21</f>
        <v>0.41466666666666668</v>
      </c>
      <c r="Z21" s="103">
        <f t="shared" ref="Z21" si="65">Y21</f>
        <v>0.41466666666666668</v>
      </c>
      <c r="AA21" s="103">
        <f t="shared" ref="AA21" si="66">Z21</f>
        <v>0.41466666666666668</v>
      </c>
      <c r="AB21" s="103">
        <f t="shared" ref="AB21" si="67">AA21</f>
        <v>0.41466666666666668</v>
      </c>
      <c r="AC21" s="103">
        <f t="shared" ref="AC21" si="68">AB21</f>
        <v>0.41466666666666668</v>
      </c>
      <c r="AD21" s="103">
        <f t="shared" ref="AD21" si="69">AC21</f>
        <v>0.41466666666666668</v>
      </c>
      <c r="AE21" s="103">
        <f t="shared" ref="AE21" si="70">AD21</f>
        <v>0.41466666666666668</v>
      </c>
    </row>
    <row r="22" spans="1:31">
      <c r="A22" t="s">
        <v>246</v>
      </c>
      <c r="C22" s="9">
        <f t="shared" ref="C22:L22" si="71">C17*C21</f>
        <v>10657.777777777779</v>
      </c>
      <c r="D22" s="9">
        <f t="shared" si="71"/>
        <v>9870.6959999999999</v>
      </c>
      <c r="E22" s="9">
        <f t="shared" si="71"/>
        <v>9246.38004</v>
      </c>
      <c r="F22" s="9">
        <f t="shared" si="71"/>
        <v>8564.4673580973904</v>
      </c>
      <c r="G22" s="9">
        <f t="shared" si="71"/>
        <v>7852.1459782292995</v>
      </c>
      <c r="H22" s="9">
        <f t="shared" si="71"/>
        <v>7493.7935307660327</v>
      </c>
      <c r="I22" s="9">
        <f t="shared" si="71"/>
        <v>6946.7466030201113</v>
      </c>
      <c r="J22" s="9">
        <f t="shared" si="71"/>
        <v>6439.6341009996431</v>
      </c>
      <c r="K22" s="9">
        <f t="shared" si="71"/>
        <v>5969.5408116266699</v>
      </c>
      <c r="L22" s="9">
        <f t="shared" si="71"/>
        <v>5533.7643323779221</v>
      </c>
      <c r="M22" s="9">
        <f t="shared" ref="M22:T22" si="72">M17*M21</f>
        <v>5129.7995361143339</v>
      </c>
      <c r="N22" s="9">
        <f t="shared" si="72"/>
        <v>4755.3241699779874</v>
      </c>
      <c r="O22" s="9">
        <f t="shared" si="72"/>
        <v>4408.1855055695942</v>
      </c>
      <c r="P22" s="9">
        <f t="shared" si="72"/>
        <v>4086.3879636630136</v>
      </c>
      <c r="Q22" s="9">
        <f t="shared" si="72"/>
        <v>3788.0816423156139</v>
      </c>
      <c r="R22" s="9">
        <f t="shared" si="72"/>
        <v>3511.5516824265746</v>
      </c>
      <c r="S22" s="9">
        <f t="shared" si="72"/>
        <v>3255.2084096094345</v>
      </c>
      <c r="T22" s="9">
        <f t="shared" si="72"/>
        <v>3017.5781957079457</v>
      </c>
      <c r="U22" s="9">
        <f t="shared" ref="U22" si="73">U17*U21</f>
        <v>2797.2949874212659</v>
      </c>
      <c r="V22" s="9">
        <f t="shared" ref="V22" si="74">V17*V21</f>
        <v>2593.0924533395132</v>
      </c>
      <c r="W22" s="9">
        <f t="shared" ref="W22" si="75">W17*W21</f>
        <v>2403.796704245729</v>
      </c>
      <c r="X22" s="9">
        <f t="shared" ref="X22" si="76">X17*X21</f>
        <v>2228.3195448357906</v>
      </c>
      <c r="Y22" s="9">
        <f t="shared" ref="Y22" si="77">Y17*Y21</f>
        <v>2065.6522180627776</v>
      </c>
      <c r="Z22" s="9">
        <f t="shared" ref="Z22" si="78">Z17*Z21</f>
        <v>1914.8596061441949</v>
      </c>
      <c r="AA22" s="9">
        <f t="shared" ref="AA22" si="79">AA17*AA21</f>
        <v>1775.0748548956688</v>
      </c>
      <c r="AB22" s="9">
        <f t="shared" ref="AB22" si="80">AB17*AB21</f>
        <v>1645.494390488285</v>
      </c>
      <c r="AC22" s="9">
        <f t="shared" ref="AC22" si="81">AC17*AC21</f>
        <v>1525.3732999826402</v>
      </c>
      <c r="AD22" s="9">
        <f t="shared" ref="AD22" si="82">AD17*AD21</f>
        <v>1414.0210490839074</v>
      </c>
      <c r="AE22" s="9">
        <f t="shared" ref="AE22" si="83">AE17*AE21</f>
        <v>1310.7975125007822</v>
      </c>
    </row>
    <row r="23" spans="1:31">
      <c r="A23" t="s">
        <v>247</v>
      </c>
      <c r="B23" s="20">
        <f>'Cash flows'!B14</f>
        <v>0.3</v>
      </c>
      <c r="C23" s="35">
        <f>-$B23*C22</f>
        <v>-3197.3333333333335</v>
      </c>
      <c r="D23" s="35">
        <f>-$B23*D22</f>
        <v>-2961.2087999999999</v>
      </c>
      <c r="E23" s="35">
        <f t="shared" ref="E23:L23" si="84">-$B23*E22</f>
        <v>-2773.9140119999997</v>
      </c>
      <c r="F23" s="35">
        <f t="shared" si="84"/>
        <v>-2569.3402074292171</v>
      </c>
      <c r="G23" s="35">
        <f t="shared" si="84"/>
        <v>-2355.6437934687897</v>
      </c>
      <c r="H23" s="35">
        <f t="shared" si="84"/>
        <v>-2248.1380592298096</v>
      </c>
      <c r="I23" s="35">
        <f t="shared" si="84"/>
        <v>-2084.0239809060331</v>
      </c>
      <c r="J23" s="35">
        <f t="shared" si="84"/>
        <v>-1931.8902302998929</v>
      </c>
      <c r="K23" s="35">
        <f t="shared" si="84"/>
        <v>-1790.862243488001</v>
      </c>
      <c r="L23" s="35">
        <f t="shared" si="84"/>
        <v>-1660.1292997133767</v>
      </c>
      <c r="M23" s="35">
        <f t="shared" ref="M23:T23" si="85">-$B23*M22</f>
        <v>-1538.9398608343001</v>
      </c>
      <c r="N23" s="35">
        <f t="shared" si="85"/>
        <v>-1426.5972509933961</v>
      </c>
      <c r="O23" s="35">
        <f t="shared" si="85"/>
        <v>-1322.4556516708783</v>
      </c>
      <c r="P23" s="35">
        <f t="shared" si="85"/>
        <v>-1225.9163890989041</v>
      </c>
      <c r="Q23" s="35">
        <f t="shared" si="85"/>
        <v>-1136.4244926946842</v>
      </c>
      <c r="R23" s="35">
        <f t="shared" si="85"/>
        <v>-1053.4655047279723</v>
      </c>
      <c r="S23" s="35">
        <f t="shared" si="85"/>
        <v>-976.56252288283031</v>
      </c>
      <c r="T23" s="35">
        <f t="shared" si="85"/>
        <v>-905.27345871238367</v>
      </c>
      <c r="U23" s="35">
        <f t="shared" ref="U23:AE23" si="86">-$B23*U22</f>
        <v>-839.1884962263797</v>
      </c>
      <c r="V23" s="35">
        <f t="shared" si="86"/>
        <v>-777.92773600185399</v>
      </c>
      <c r="W23" s="35">
        <f t="shared" si="86"/>
        <v>-721.13901127371867</v>
      </c>
      <c r="X23" s="35">
        <f t="shared" si="86"/>
        <v>-668.49586345073715</v>
      </c>
      <c r="Y23" s="35">
        <f t="shared" si="86"/>
        <v>-619.6956654188333</v>
      </c>
      <c r="Z23" s="35">
        <f t="shared" si="86"/>
        <v>-574.45788184325841</v>
      </c>
      <c r="AA23" s="35">
        <f t="shared" si="86"/>
        <v>-532.52245646870063</v>
      </c>
      <c r="AB23" s="35">
        <f t="shared" si="86"/>
        <v>-493.64831714648551</v>
      </c>
      <c r="AC23" s="35">
        <f t="shared" si="86"/>
        <v>-457.61198999479205</v>
      </c>
      <c r="AD23" s="35">
        <f t="shared" si="86"/>
        <v>-424.20631472517221</v>
      </c>
      <c r="AE23" s="35">
        <f t="shared" si="86"/>
        <v>-393.23925375023464</v>
      </c>
    </row>
    <row r="24" spans="1:31">
      <c r="A24" t="s">
        <v>248</v>
      </c>
      <c r="C24" s="9">
        <f>C22+C23</f>
        <v>7460.4444444444453</v>
      </c>
      <c r="D24" s="9">
        <f t="shared" ref="D24:L24" si="87">D22+D23</f>
        <v>6909.4871999999996</v>
      </c>
      <c r="E24" s="9">
        <f t="shared" si="87"/>
        <v>6472.4660280000007</v>
      </c>
      <c r="F24" s="9">
        <f t="shared" si="87"/>
        <v>5995.1271506681733</v>
      </c>
      <c r="G24" s="9">
        <f t="shared" si="87"/>
        <v>5496.5021847605094</v>
      </c>
      <c r="H24" s="9">
        <f t="shared" si="87"/>
        <v>5245.6554715362236</v>
      </c>
      <c r="I24" s="9">
        <f t="shared" si="87"/>
        <v>4862.7226221140781</v>
      </c>
      <c r="J24" s="9">
        <f t="shared" si="87"/>
        <v>4507.74387069975</v>
      </c>
      <c r="K24" s="9">
        <f t="shared" si="87"/>
        <v>4178.6785681386691</v>
      </c>
      <c r="L24" s="9">
        <f t="shared" si="87"/>
        <v>3873.6350326645452</v>
      </c>
      <c r="M24" s="9">
        <f t="shared" ref="M24:T24" si="88">M22+M23</f>
        <v>3590.859675280034</v>
      </c>
      <c r="N24" s="9">
        <f t="shared" si="88"/>
        <v>3328.7269189845911</v>
      </c>
      <c r="O24" s="9">
        <f t="shared" si="88"/>
        <v>3085.7298538987161</v>
      </c>
      <c r="P24" s="9">
        <f t="shared" si="88"/>
        <v>2860.4715745641097</v>
      </c>
      <c r="Q24" s="9">
        <f t="shared" si="88"/>
        <v>2651.6571496209299</v>
      </c>
      <c r="R24" s="9">
        <f t="shared" si="88"/>
        <v>2458.0861776986021</v>
      </c>
      <c r="S24" s="9">
        <f t="shared" si="88"/>
        <v>2278.6458867266042</v>
      </c>
      <c r="T24" s="9">
        <f t="shared" si="88"/>
        <v>2112.3047369955621</v>
      </c>
      <c r="U24" s="9">
        <f t="shared" ref="U24:AE24" si="89">U22+U23</f>
        <v>1958.1064911948861</v>
      </c>
      <c r="V24" s="9">
        <f t="shared" si="89"/>
        <v>1815.1647173376591</v>
      </c>
      <c r="W24" s="9">
        <f t="shared" si="89"/>
        <v>1682.6576929720104</v>
      </c>
      <c r="X24" s="9">
        <f t="shared" si="89"/>
        <v>1559.8236813850535</v>
      </c>
      <c r="Y24" s="9">
        <f t="shared" si="89"/>
        <v>1445.9565526439442</v>
      </c>
      <c r="Z24" s="9">
        <f t="shared" si="89"/>
        <v>1340.4017243009366</v>
      </c>
      <c r="AA24" s="9">
        <f t="shared" si="89"/>
        <v>1242.552398426968</v>
      </c>
      <c r="AB24" s="9">
        <f t="shared" si="89"/>
        <v>1151.8460733417996</v>
      </c>
      <c r="AC24" s="9">
        <f t="shared" si="89"/>
        <v>1067.7613099878481</v>
      </c>
      <c r="AD24" s="9">
        <f t="shared" si="89"/>
        <v>989.81473435873522</v>
      </c>
      <c r="AE24" s="9">
        <f t="shared" si="89"/>
        <v>917.55825875054757</v>
      </c>
    </row>
    <row r="25" spans="1:31">
      <c r="A25" t="s">
        <v>260</v>
      </c>
      <c r="B25" s="14">
        <f>L11</f>
        <v>0.20687433406042871</v>
      </c>
      <c r="C25" s="35">
        <f t="shared" ref="C25:L25" si="90">-$B$25*C17</f>
        <v>-5461.4824191953176</v>
      </c>
      <c r="D25" s="35">
        <f t="shared" si="90"/>
        <v>-5062.7942025940592</v>
      </c>
      <c r="E25" s="35">
        <f t="shared" si="90"/>
        <v>-4693.2102258046934</v>
      </c>
      <c r="F25" s="35">
        <f t="shared" si="90"/>
        <v>-4350.6058793209504</v>
      </c>
      <c r="G25" s="35">
        <f t="shared" si="90"/>
        <v>-4033.0116501305206</v>
      </c>
      <c r="H25" s="35">
        <f t="shared" si="90"/>
        <v>-3738.6017996709929</v>
      </c>
      <c r="I25" s="35">
        <f t="shared" si="90"/>
        <v>-3465.6838682950101</v>
      </c>
      <c r="J25" s="35">
        <f t="shared" si="90"/>
        <v>-3212.6889459094741</v>
      </c>
      <c r="K25" s="35">
        <f t="shared" si="90"/>
        <v>-2978.1626528580828</v>
      </c>
      <c r="L25" s="35">
        <f t="shared" si="90"/>
        <v>-2760.7567791994425</v>
      </c>
      <c r="M25" s="35">
        <f t="shared" ref="M25:T25" si="91">-$B$25*M17</f>
        <v>-2559.2215343178832</v>
      </c>
      <c r="N25" s="35">
        <f t="shared" si="91"/>
        <v>-2372.3983623126778</v>
      </c>
      <c r="O25" s="35">
        <f t="shared" si="91"/>
        <v>-2199.2132818638524</v>
      </c>
      <c r="P25" s="35">
        <f t="shared" si="91"/>
        <v>-2038.6707122877908</v>
      </c>
      <c r="Q25" s="35">
        <f t="shared" si="91"/>
        <v>-1889.8477502907822</v>
      </c>
      <c r="R25" s="35">
        <f t="shared" si="91"/>
        <v>-1751.8888645195552</v>
      </c>
      <c r="S25" s="35">
        <f t="shared" si="91"/>
        <v>-1624.0009774096277</v>
      </c>
      <c r="T25" s="35">
        <f t="shared" si="91"/>
        <v>-1505.448906058725</v>
      </c>
      <c r="U25" s="35">
        <f t="shared" ref="U25:AE25" si="92">-$B$25*U17</f>
        <v>-1395.5511359164382</v>
      </c>
      <c r="V25" s="35">
        <f t="shared" si="92"/>
        <v>-1293.6759029945381</v>
      </c>
      <c r="W25" s="35">
        <f t="shared" si="92"/>
        <v>-1199.2375620759367</v>
      </c>
      <c r="X25" s="35">
        <f t="shared" si="92"/>
        <v>-1111.6932200443932</v>
      </c>
      <c r="Y25" s="35">
        <f t="shared" si="92"/>
        <v>-1030.5396149811525</v>
      </c>
      <c r="Z25" s="35">
        <f t="shared" si="92"/>
        <v>-955.31022308752847</v>
      </c>
      <c r="AA25" s="35">
        <f t="shared" si="92"/>
        <v>-885.57257680213888</v>
      </c>
      <c r="AB25" s="35">
        <f t="shared" si="92"/>
        <v>-820.92577869558272</v>
      </c>
      <c r="AC25" s="35">
        <f t="shared" si="92"/>
        <v>-760.99819685080524</v>
      </c>
      <c r="AD25" s="35">
        <f t="shared" si="92"/>
        <v>-705.44532848069639</v>
      </c>
      <c r="AE25" s="35">
        <f t="shared" si="92"/>
        <v>-653.94781950160552</v>
      </c>
    </row>
    <row r="26" spans="1:31">
      <c r="A26" s="100" t="s">
        <v>259</v>
      </c>
      <c r="C26" s="39">
        <f>C24+C25</f>
        <v>1998.9620252491277</v>
      </c>
      <c r="D26" s="39">
        <f t="shared" ref="D26:L26" si="93">D24+D25</f>
        <v>1846.6929974059403</v>
      </c>
      <c r="E26" s="39">
        <f t="shared" si="93"/>
        <v>1779.2558021953073</v>
      </c>
      <c r="F26" s="39">
        <f t="shared" si="93"/>
        <v>1644.5212713472229</v>
      </c>
      <c r="G26" s="39">
        <f t="shared" si="93"/>
        <v>1463.4905346299888</v>
      </c>
      <c r="H26" s="39">
        <f t="shared" si="93"/>
        <v>1507.0536718652306</v>
      </c>
      <c r="I26" s="39">
        <f t="shared" si="93"/>
        <v>1397.038753819068</v>
      </c>
      <c r="J26" s="39">
        <f t="shared" si="93"/>
        <v>1295.0549247902759</v>
      </c>
      <c r="K26" s="39">
        <f t="shared" si="93"/>
        <v>1200.5159152805863</v>
      </c>
      <c r="L26" s="39">
        <f t="shared" si="93"/>
        <v>1112.8782534651027</v>
      </c>
      <c r="M26" s="39">
        <f t="shared" ref="M26:T26" si="94">M24+M25</f>
        <v>1031.6381409621508</v>
      </c>
      <c r="N26" s="39">
        <f t="shared" si="94"/>
        <v>956.32855667191325</v>
      </c>
      <c r="O26" s="39">
        <f t="shared" si="94"/>
        <v>886.51657203486366</v>
      </c>
      <c r="P26" s="39">
        <f t="shared" si="94"/>
        <v>821.80086227631887</v>
      </c>
      <c r="Q26" s="39">
        <f t="shared" si="94"/>
        <v>761.8093993301477</v>
      </c>
      <c r="R26" s="39">
        <f t="shared" si="94"/>
        <v>706.19731317904689</v>
      </c>
      <c r="S26" s="39">
        <f t="shared" si="94"/>
        <v>654.64490931697651</v>
      </c>
      <c r="T26" s="39">
        <f t="shared" si="94"/>
        <v>606.85583093683704</v>
      </c>
      <c r="U26" s="39">
        <f t="shared" ref="U26:AE26" si="95">U24+U25</f>
        <v>562.55535527844791</v>
      </c>
      <c r="V26" s="39">
        <f t="shared" si="95"/>
        <v>521.48881434312102</v>
      </c>
      <c r="W26" s="39">
        <f t="shared" si="95"/>
        <v>483.42013089607372</v>
      </c>
      <c r="X26" s="39">
        <f t="shared" si="95"/>
        <v>448.1304613406603</v>
      </c>
      <c r="Y26" s="39">
        <f t="shared" si="95"/>
        <v>415.41693766279172</v>
      </c>
      <c r="Z26" s="39">
        <f t="shared" si="95"/>
        <v>385.09150121340815</v>
      </c>
      <c r="AA26" s="39">
        <f t="shared" si="95"/>
        <v>356.97982162482913</v>
      </c>
      <c r="AB26" s="39">
        <f t="shared" si="95"/>
        <v>330.92029464621692</v>
      </c>
      <c r="AC26" s="39">
        <f t="shared" si="95"/>
        <v>306.76311313704286</v>
      </c>
      <c r="AD26" s="39">
        <f t="shared" si="95"/>
        <v>284.36940587803883</v>
      </c>
      <c r="AE26" s="39">
        <f t="shared" si="95"/>
        <v>263.61043924894204</v>
      </c>
    </row>
    <row r="27" spans="1:31">
      <c r="A27" s="100"/>
      <c r="C27" s="95"/>
      <c r="D27" s="59"/>
      <c r="E27" s="59"/>
      <c r="F27" s="59"/>
      <c r="G27" s="59"/>
      <c r="H27" s="59"/>
      <c r="I27" s="59"/>
      <c r="J27" s="59"/>
      <c r="K27" s="59"/>
      <c r="L27" s="59"/>
    </row>
    <row r="28" spans="1:31">
      <c r="A28" s="100" t="s">
        <v>94</v>
      </c>
      <c r="C28" s="105">
        <f>'Cash flows'!D23</f>
        <v>0.25</v>
      </c>
      <c r="D28" s="105">
        <f>'Cash flows'!E23</f>
        <v>1</v>
      </c>
      <c r="E28" s="105">
        <f>'Cash flows'!F23</f>
        <v>2</v>
      </c>
      <c r="F28" s="105">
        <f>'Cash flows'!G23</f>
        <v>3</v>
      </c>
      <c r="G28" s="105">
        <f>'Cash flows'!H23</f>
        <v>4</v>
      </c>
      <c r="H28" s="105">
        <f>'Cash flows'!I23</f>
        <v>5</v>
      </c>
      <c r="I28" s="105">
        <f>H28+1</f>
        <v>6</v>
      </c>
      <c r="J28" s="105">
        <f t="shared" ref="J28:L28" si="96">I28+1</f>
        <v>7</v>
      </c>
      <c r="K28" s="105">
        <f t="shared" si="96"/>
        <v>8</v>
      </c>
      <c r="L28" s="105">
        <f t="shared" si="96"/>
        <v>9</v>
      </c>
      <c r="M28" s="105">
        <f t="shared" ref="M28" si="97">L28+1</f>
        <v>10</v>
      </c>
      <c r="N28" s="105">
        <f t="shared" ref="N28" si="98">M28+1</f>
        <v>11</v>
      </c>
      <c r="O28" s="105">
        <f t="shared" ref="O28" si="99">N28+1</f>
        <v>12</v>
      </c>
      <c r="P28" s="105">
        <f t="shared" ref="P28" si="100">O28+1</f>
        <v>13</v>
      </c>
      <c r="Q28" s="105">
        <f t="shared" ref="Q28" si="101">P28+1</f>
        <v>14</v>
      </c>
      <c r="R28" s="105">
        <f t="shared" ref="R28" si="102">Q28+1</f>
        <v>15</v>
      </c>
      <c r="S28" s="105">
        <f t="shared" ref="S28" si="103">R28+1</f>
        <v>16</v>
      </c>
      <c r="T28" s="105">
        <f t="shared" ref="T28" si="104">S28+1</f>
        <v>17</v>
      </c>
      <c r="U28" s="105">
        <f t="shared" ref="U28" si="105">T28+1</f>
        <v>18</v>
      </c>
      <c r="V28" s="105">
        <f t="shared" ref="V28" si="106">U28+1</f>
        <v>19</v>
      </c>
      <c r="W28" s="105">
        <f t="shared" ref="W28" si="107">V28+1</f>
        <v>20</v>
      </c>
      <c r="X28" s="105">
        <f t="shared" ref="X28" si="108">W28+1</f>
        <v>21</v>
      </c>
      <c r="Y28" s="105">
        <f t="shared" ref="Y28" si="109">X28+1</f>
        <v>22</v>
      </c>
      <c r="Z28" s="105">
        <f t="shared" ref="Z28" si="110">Y28+1</f>
        <v>23</v>
      </c>
      <c r="AA28" s="105">
        <f t="shared" ref="AA28" si="111">Z28+1</f>
        <v>24</v>
      </c>
      <c r="AB28" s="105">
        <f t="shared" ref="AB28" si="112">AA28+1</f>
        <v>25</v>
      </c>
      <c r="AC28" s="105">
        <f t="shared" ref="AC28" si="113">AB28+1</f>
        <v>26</v>
      </c>
      <c r="AD28" s="105">
        <f t="shared" ref="AD28" si="114">AC28+1</f>
        <v>27</v>
      </c>
      <c r="AE28" s="105">
        <f t="shared" ref="AE28" si="115">AD28+1</f>
        <v>28</v>
      </c>
    </row>
    <row r="29" spans="1:31">
      <c r="A29" s="100" t="s">
        <v>93</v>
      </c>
      <c r="B29" s="14">
        <f>'Cash flows'!B24+B6</f>
        <v>0.10924499999999999</v>
      </c>
      <c r="C29" s="106">
        <f t="shared" ref="C29:H29" si="116">1/(1+$B$29)^C28</f>
        <v>0.97441313606981217</v>
      </c>
      <c r="D29" s="106">
        <f t="shared" si="116"/>
        <v>0.90151409291905749</v>
      </c>
      <c r="E29" s="106">
        <f t="shared" si="116"/>
        <v>0.81272765973167116</v>
      </c>
      <c r="F29" s="106">
        <f t="shared" si="116"/>
        <v>0.73268543895322591</v>
      </c>
      <c r="G29" s="106">
        <f t="shared" si="116"/>
        <v>0.660526248892919</v>
      </c>
      <c r="H29" s="106">
        <f t="shared" si="116"/>
        <v>0.59547372211992755</v>
      </c>
      <c r="I29" s="106">
        <f>1/(1+$B$29)^I28</f>
        <v>0.53682795245408144</v>
      </c>
      <c r="J29" s="106">
        <f>1/(1+$B$29)^J28</f>
        <v>0.48395796461023616</v>
      </c>
      <c r="K29" s="106">
        <f>1/(1+$B$29)^K28</f>
        <v>0.43629492547655047</v>
      </c>
      <c r="L29" s="106">
        <f>1/(1+$B$29)^L28</f>
        <v>0.39332602398618016</v>
      </c>
      <c r="M29" s="106">
        <f t="shared" ref="M29:T29" si="117">1/(1+$B$29)^M28</f>
        <v>0.35458895373536076</v>
      </c>
      <c r="N29" s="106">
        <f t="shared" si="117"/>
        <v>0.31966693898585141</v>
      </c>
      <c r="O29" s="106">
        <f t="shared" si="117"/>
        <v>0.28818425053604152</v>
      </c>
      <c r="P29" s="106">
        <f t="shared" si="117"/>
        <v>0.25980216321555794</v>
      </c>
      <c r="Q29" s="106">
        <f t="shared" si="117"/>
        <v>0.23421531150968267</v>
      </c>
      <c r="R29" s="106">
        <f t="shared" si="117"/>
        <v>0.21114840410340605</v>
      </c>
      <c r="S29" s="106">
        <f t="shared" si="117"/>
        <v>0.19035326199658875</v>
      </c>
      <c r="T29" s="106">
        <f t="shared" si="117"/>
        <v>0.17160614832303842</v>
      </c>
      <c r="U29" s="106">
        <f t="shared" ref="U29" si="118">1/(1+$B$29)^U28</f>
        <v>0.15470536114477723</v>
      </c>
      <c r="V29" s="106">
        <f t="shared" ref="V29" si="119">1/(1+$B$29)^V28</f>
        <v>0.13946906332214903</v>
      </c>
      <c r="W29" s="106">
        <f t="shared" ref="W29" si="120">1/(1+$B$29)^W28</f>
        <v>0.1257333261111378</v>
      </c>
      <c r="X29" s="106">
        <f t="shared" ref="X29" si="121">1/(1+$B$29)^X28</f>
        <v>0.11335036543877845</v>
      </c>
      <c r="Y29" s="106">
        <f t="shared" ref="Y29" si="122">1/(1+$B$29)^Y28</f>
        <v>0.10218695188058405</v>
      </c>
      <c r="Z29" s="106">
        <f t="shared" ref="Z29" si="123">1/(1+$B$29)^Z28</f>
        <v>9.2122977232788103E-2</v>
      </c>
      <c r="AA29" s="106">
        <f t="shared" ref="AA29" si="124">1/(1+$B$29)^AA28</f>
        <v>8.3050162257019972E-2</v>
      </c>
      <c r="AB29" s="106">
        <f t="shared" ref="AB29" si="125">1/(1+$B$29)^AB28</f>
        <v>7.4870891693917904E-2</v>
      </c>
      <c r="AC29" s="106">
        <f t="shared" ref="AC29" si="126">1/(1+$B$29)^AC28</f>
        <v>6.749716401148341E-2</v>
      </c>
      <c r="AD29" s="106">
        <f t="shared" ref="AD29" si="127">1/(1+$B$29)^AD28</f>
        <v>6.084964458842132E-2</v>
      </c>
      <c r="AE29" s="106">
        <f t="shared" ref="AE29" si="128">1/(1+$B$29)^AE28</f>
        <v>5.4856812145577687E-2</v>
      </c>
    </row>
    <row r="30" spans="1:31">
      <c r="A30" s="100" t="s">
        <v>3</v>
      </c>
      <c r="C30" s="107">
        <f t="shared" ref="C30:L30" si="129">C26*C29</f>
        <v>1947.8148559074655</v>
      </c>
      <c r="D30" s="107">
        <f t="shared" si="129"/>
        <v>1664.8197624563916</v>
      </c>
      <c r="E30" s="107">
        <f t="shared" si="129"/>
        <v>1446.0504041821894</v>
      </c>
      <c r="F30" s="107">
        <f t="shared" si="129"/>
        <v>1204.9167895649571</v>
      </c>
      <c r="G30" s="107">
        <f t="shared" si="129"/>
        <v>966.67391312943903</v>
      </c>
      <c r="H30" s="107">
        <f t="shared" si="129"/>
        <v>897.41085942009283</v>
      </c>
      <c r="I30" s="107">
        <f t="shared" si="129"/>
        <v>749.96945371169181</v>
      </c>
      <c r="J30" s="107">
        <f t="shared" si="129"/>
        <v>626.75214545996437</v>
      </c>
      <c r="K30" s="107">
        <f t="shared" si="129"/>
        <v>523.77900179075618</v>
      </c>
      <c r="L30" s="107">
        <f t="shared" si="129"/>
        <v>437.7239786161133</v>
      </c>
      <c r="M30" s="107">
        <f t="shared" ref="M30" si="130">M26*M29</f>
        <v>365.80748903726169</v>
      </c>
      <c r="N30" s="107">
        <f t="shared" ref="N30" si="131">N26*N29</f>
        <v>305.70662237606786</v>
      </c>
      <c r="O30" s="107">
        <f t="shared" ref="O30" si="132">O26*O29</f>
        <v>255.48011389964785</v>
      </c>
      <c r="P30" s="107">
        <f t="shared" ref="P30" si="133">P26*P29</f>
        <v>213.50564175179844</v>
      </c>
      <c r="Q30" s="107">
        <f t="shared" ref="Q30" si="134">Q26*Q29</f>
        <v>178.42742577511478</v>
      </c>
      <c r="R30" s="107">
        <f t="shared" ref="R30" si="135">R26*R29</f>
        <v>149.11243565986899</v>
      </c>
      <c r="S30" s="107">
        <f t="shared" ref="S30" si="136">S26*S29</f>
        <v>124.61379393794752</v>
      </c>
      <c r="T30" s="107">
        <f t="shared" ref="T30" si="137">T26*T29</f>
        <v>104.14019173444758</v>
      </c>
      <c r="U30" s="107">
        <f t="shared" ref="U30" si="138">U26*U29</f>
        <v>87.030329402280742</v>
      </c>
      <c r="V30" s="107">
        <f t="shared" ref="V30" si="139">V26*V29</f>
        <v>72.731556469413164</v>
      </c>
      <c r="W30" s="107">
        <f t="shared" ref="W30" si="140">W26*W29</f>
        <v>60.782020966644957</v>
      </c>
      <c r="X30" s="107">
        <f t="shared" ref="X30" si="141">X26*X29</f>
        <v>50.795751557212228</v>
      </c>
      <c r="Y30" s="107">
        <f t="shared" ref="Y30" si="142">Y26*Y29</f>
        <v>42.45019061932728</v>
      </c>
      <c r="Z30" s="107">
        <f t="shared" ref="Z30" si="143">Z26*Z29</f>
        <v>35.475775598822992</v>
      </c>
      <c r="AA30" s="107">
        <f t="shared" ref="AA30" si="144">AA26*AA29</f>
        <v>29.647232108424106</v>
      </c>
      <c r="AB30" s="107">
        <f t="shared" ref="AB30" si="145">AB26*AB29</f>
        <v>24.776297539776309</v>
      </c>
      <c r="AC30" s="107">
        <f t="shared" ref="AC30" si="146">AC26*AC29</f>
        <v>20.705640160084222</v>
      </c>
      <c r="AD30" s="107">
        <f t="shared" ref="AD30" si="147">AD26*AD29</f>
        <v>17.30377727949919</v>
      </c>
      <c r="AE30" s="107">
        <f t="shared" ref="AE30" si="148">AE26*AE29</f>
        <v>14.460828345492432</v>
      </c>
    </row>
    <row r="31" spans="1:31" ht="17">
      <c r="A31" s="7"/>
      <c r="C31" s="95"/>
      <c r="D31" s="123">
        <f>SUM($C$30:D30)/$C$32</f>
        <v>0.28628841222510226</v>
      </c>
      <c r="E31" s="123">
        <f>SUM($C$30:E30)/$C$32</f>
        <v>0.40088275069110502</v>
      </c>
      <c r="F31" s="123">
        <f>SUM($C$30:F30)/$C$32</f>
        <v>0.49636810998939657</v>
      </c>
      <c r="G31" s="123">
        <f>SUM($C$30:G30)/$C$32</f>
        <v>0.57297357081360556</v>
      </c>
      <c r="H31" s="123">
        <f>SUM($C$30:H30)/$C$32</f>
        <v>0.64409018159703968</v>
      </c>
      <c r="I31" s="123">
        <f>SUM($C$30:I30)/$C$32</f>
        <v>0.70352258669802592</v>
      </c>
      <c r="J31" s="123">
        <f>SUM($C$30:J30)/$C$32</f>
        <v>0.75319045946609264</v>
      </c>
      <c r="K31" s="123">
        <f>SUM($C$30:K30)/$C$32</f>
        <v>0.79469807776141776</v>
      </c>
      <c r="L31" s="123">
        <f>SUM($C$30:L30)/$C$32</f>
        <v>0.82938614230961627</v>
      </c>
      <c r="M31" s="123">
        <f>SUM($C$30:M30)/$C$32</f>
        <v>0.85837508148552411</v>
      </c>
      <c r="N31" s="123">
        <f>SUM($C$30:N30)/$C$32</f>
        <v>0.88260124127535111</v>
      </c>
      <c r="O31" s="123">
        <f>SUM($C$30:O30)/$C$32</f>
        <v>0.90284712935703693</v>
      </c>
      <c r="P31" s="123">
        <f>SUM($C$30:P30)/$C$32</f>
        <v>0.91976669018599977</v>
      </c>
      <c r="Q31" s="123">
        <f>SUM($C$30:Q30)/$C$32</f>
        <v>0.93390642747437924</v>
      </c>
    </row>
    <row r="32" spans="1:31" ht="15" thickBot="1">
      <c r="A32" s="100" t="s">
        <v>95</v>
      </c>
      <c r="C32" s="40">
        <f>SUM(C30:AE30)</f>
        <v>12618.864278458193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spans="1:14">
      <c r="A33" s="100"/>
      <c r="C33" s="99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1:14">
      <c r="A34" s="100"/>
      <c r="C34" s="95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spans="1:14">
      <c r="A35" s="100"/>
      <c r="C35" s="95"/>
      <c r="D35" s="59"/>
      <c r="E35" s="59"/>
      <c r="F35" s="59"/>
      <c r="G35" s="59"/>
      <c r="H35" s="59"/>
      <c r="I35" s="59"/>
      <c r="J35" s="59"/>
      <c r="K35" s="59"/>
      <c r="L35" s="59"/>
      <c r="M35" s="59"/>
    </row>
    <row r="40" spans="1:14" ht="15" thickBot="1"/>
    <row r="41" spans="1:14">
      <c r="A41" s="48" t="s">
        <v>57</v>
      </c>
      <c r="B41" s="57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0"/>
    </row>
    <row r="42" spans="1:14">
      <c r="A42" s="51" t="s">
        <v>267</v>
      </c>
      <c r="B42" s="58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3"/>
    </row>
    <row r="43" spans="1:14">
      <c r="A43" s="51" t="s">
        <v>261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3"/>
    </row>
    <row r="44" spans="1:14">
      <c r="A44" s="51" t="s">
        <v>262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3"/>
    </row>
    <row r="45" spans="1:14">
      <c r="A45" s="51" t="s">
        <v>265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3"/>
    </row>
    <row r="46" spans="1:14">
      <c r="A46" s="51" t="s">
        <v>266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3"/>
    </row>
    <row r="47" spans="1:14">
      <c r="A47" s="51" t="s">
        <v>268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3"/>
    </row>
    <row r="48" spans="1:14" ht="15" thickBot="1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6"/>
    </row>
  </sheetData>
  <pageMargins left="0.7" right="0.7" top="0.75" bottom="0.75" header="0.3" footer="0.3"/>
  <pageSetup paperSize="9" orientation="landscape" r:id="rId1"/>
  <headerFooter>
    <oddHeader>&amp;L&amp;"-,Bold"&amp;K002F6CPurchase Price Allocation Template&amp;R&amp;G</oddHeader>
    <oddFooter>&amp;C&amp;9&amp;A&amp;R&amp;9Page &amp;P of &amp;N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4ABAD-BE25-431F-B31F-679C8240DC89}">
  <dimension ref="A1:Q23"/>
  <sheetViews>
    <sheetView showGridLines="0" zoomScaleNormal="100" workbookViewId="0">
      <selection activeCell="L15" sqref="L15"/>
    </sheetView>
  </sheetViews>
  <sheetFormatPr defaultRowHeight="14.5"/>
  <cols>
    <col min="1" max="1" width="30.1796875" customWidth="1"/>
    <col min="2" max="2" width="9.1796875" customWidth="1"/>
    <col min="4" max="4" width="11.81640625" bestFit="1" customWidth="1"/>
    <col min="5" max="5" width="2.81640625" customWidth="1"/>
  </cols>
  <sheetData>
    <row r="1" spans="1:17" ht="21">
      <c r="A1" s="17" t="s">
        <v>270</v>
      </c>
    </row>
    <row r="2" spans="1:17" ht="15" thickBot="1"/>
    <row r="3" spans="1:17" ht="17">
      <c r="A3" s="7" t="s">
        <v>13</v>
      </c>
      <c r="B3" s="6" t="s">
        <v>12</v>
      </c>
      <c r="C3" s="6" t="s">
        <v>20</v>
      </c>
      <c r="F3" s="48" t="s">
        <v>57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</row>
    <row r="4" spans="1:17">
      <c r="A4" s="1" t="s">
        <v>272</v>
      </c>
      <c r="B4" s="99">
        <f>'Fair value of business'!B7</f>
        <v>140291.54738889635</v>
      </c>
      <c r="F4" s="51" t="s">
        <v>271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53"/>
    </row>
    <row r="5" spans="1:17" ht="15" thickBot="1">
      <c r="B5" s="9"/>
      <c r="F5" s="54"/>
      <c r="G5" s="55"/>
      <c r="H5" s="55"/>
      <c r="I5" s="55"/>
      <c r="J5" s="55"/>
      <c r="K5" s="55"/>
      <c r="L5" s="55"/>
      <c r="M5" s="55"/>
      <c r="N5" s="55"/>
      <c r="O5" s="55"/>
      <c r="P5" s="55"/>
      <c r="Q5" s="56"/>
    </row>
    <row r="6" spans="1:17">
      <c r="A6" t="s">
        <v>274</v>
      </c>
      <c r="B6" s="98">
        <f>Brandname!C17</f>
        <v>29570.773723770195</v>
      </c>
      <c r="C6" s="14">
        <f t="shared" ref="C6:C14" si="0">B6/$B$14</f>
        <v>0.2107808650923087</v>
      </c>
    </row>
    <row r="7" spans="1:17">
      <c r="A7" t="s">
        <v>145</v>
      </c>
      <c r="B7" s="98">
        <f>Software!G35</f>
        <v>8079.9846400000006</v>
      </c>
      <c r="C7" s="14">
        <f t="shared" si="0"/>
        <v>5.7594237075465508E-2</v>
      </c>
    </row>
    <row r="8" spans="1:17">
      <c r="A8" t="s">
        <v>216</v>
      </c>
      <c r="B8" s="98">
        <f>'Non-compete'!C17</f>
        <v>3016.2376192361089</v>
      </c>
      <c r="C8" s="14">
        <f t="shared" si="0"/>
        <v>2.1499781529067626E-2</v>
      </c>
    </row>
    <row r="9" spans="1:17">
      <c r="A9" t="s">
        <v>146</v>
      </c>
      <c r="B9" s="98">
        <f>Relationships!C32</f>
        <v>12618.864278458193</v>
      </c>
      <c r="C9" s="14">
        <f t="shared" si="0"/>
        <v>8.9947430998661426E-2</v>
      </c>
    </row>
    <row r="10" spans="1:17">
      <c r="A10" t="s">
        <v>276</v>
      </c>
      <c r="B10" s="98">
        <f>D23</f>
        <v>-13561.762686439348</v>
      </c>
      <c r="C10" s="14">
        <f t="shared" si="0"/>
        <v>-9.6668423286011315E-2</v>
      </c>
      <c r="D10" t="s">
        <v>277</v>
      </c>
    </row>
    <row r="11" spans="1:17">
      <c r="A11" t="s">
        <v>270</v>
      </c>
      <c r="B11" s="96">
        <f>B14-B13-B6-B7-B8-B9-B10</f>
        <v>52879.449813871186</v>
      </c>
      <c r="C11" s="14">
        <f t="shared" si="0"/>
        <v>0.37692541566518095</v>
      </c>
      <c r="D11" t="s">
        <v>282</v>
      </c>
    </row>
    <row r="12" spans="1:17">
      <c r="A12" s="1" t="s">
        <v>281</v>
      </c>
      <c r="B12" s="109">
        <f>SUM(B6:B11)</f>
        <v>92603.547388896346</v>
      </c>
      <c r="C12" s="14">
        <f t="shared" si="0"/>
        <v>0.66007930707467299</v>
      </c>
    </row>
    <row r="13" spans="1:17">
      <c r="A13" t="s">
        <v>273</v>
      </c>
      <c r="B13" s="108">
        <f>'Net tangible assets'!B7</f>
        <v>47688</v>
      </c>
      <c r="C13" s="14">
        <f t="shared" si="0"/>
        <v>0.33992069292532701</v>
      </c>
    </row>
    <row r="14" spans="1:17">
      <c r="A14" s="1" t="s">
        <v>275</v>
      </c>
      <c r="B14" s="16">
        <f>B4</f>
        <v>140291.54738889635</v>
      </c>
      <c r="C14" s="14">
        <f t="shared" si="0"/>
        <v>1</v>
      </c>
    </row>
    <row r="16" spans="1:17" ht="17">
      <c r="A16" s="7" t="s">
        <v>276</v>
      </c>
    </row>
    <row r="17" spans="1:4">
      <c r="A17" s="1" t="s">
        <v>278</v>
      </c>
      <c r="B17" s="6" t="s">
        <v>22</v>
      </c>
      <c r="C17" s="6" t="s">
        <v>279</v>
      </c>
      <c r="D17" s="6" t="s">
        <v>280</v>
      </c>
    </row>
    <row r="18" spans="1:4">
      <c r="A18" s="1"/>
      <c r="B18" s="6"/>
      <c r="C18" s="6"/>
      <c r="D18" s="110">
        <f>'Cash flows'!B14</f>
        <v>0.3</v>
      </c>
    </row>
    <row r="19" spans="1:4">
      <c r="A19" t="s">
        <v>274</v>
      </c>
      <c r="B19" s="98">
        <f>B6</f>
        <v>29570.773723770195</v>
      </c>
      <c r="C19" s="8">
        <v>0</v>
      </c>
      <c r="D19" s="30">
        <f>-(B19-C19)*$D$18</f>
        <v>-8871.2321171310577</v>
      </c>
    </row>
    <row r="20" spans="1:4">
      <c r="A20" t="s">
        <v>145</v>
      </c>
      <c r="B20" s="98">
        <f>B7</f>
        <v>8079.9846400000006</v>
      </c>
      <c r="C20" s="8">
        <f>B20</f>
        <v>8079.9846400000006</v>
      </c>
      <c r="D20" s="30">
        <f>-(B20-C20)*$D$18</f>
        <v>0</v>
      </c>
    </row>
    <row r="21" spans="1:4">
      <c r="A21" t="s">
        <v>216</v>
      </c>
      <c r="B21" s="98">
        <f>B8</f>
        <v>3016.2376192361089</v>
      </c>
      <c r="C21" s="8">
        <v>0</v>
      </c>
      <c r="D21" s="30">
        <f>-(B21-C21)*$D$18</f>
        <v>-904.87128577083263</v>
      </c>
    </row>
    <row r="22" spans="1:4">
      <c r="A22" t="s">
        <v>146</v>
      </c>
      <c r="B22" s="98">
        <f>B9</f>
        <v>12618.864278458193</v>
      </c>
      <c r="C22" s="8">
        <v>0</v>
      </c>
      <c r="D22" s="34">
        <f>-(B22-C22)*$D$18</f>
        <v>-3785.6592835374577</v>
      </c>
    </row>
    <row r="23" spans="1:4">
      <c r="A23" s="1" t="s">
        <v>185</v>
      </c>
      <c r="B23" s="25">
        <f>SUM(B19:B22)</f>
        <v>53285.860261464506</v>
      </c>
      <c r="C23" s="25">
        <f>SUM(C19:C22)</f>
        <v>8079.9846400000006</v>
      </c>
      <c r="D23" s="25">
        <f>SUM(D19:D22)</f>
        <v>-13561.762686439348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&amp;L&amp;"-,Bold"&amp;K002F6CPurchase Price Allocation Template&amp;R&amp;G</oddHeader>
    <oddFooter>&amp;C&amp;9&amp;A&amp;R&amp;9Page &amp;P of &amp;N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7550C-F91E-4B5B-B7BF-B3AD97294358}">
  <dimension ref="A1:Q22"/>
  <sheetViews>
    <sheetView showGridLines="0" zoomScaleNormal="100" workbookViewId="0">
      <selection activeCell="A24" sqref="A24"/>
    </sheetView>
  </sheetViews>
  <sheetFormatPr defaultRowHeight="14.5"/>
  <cols>
    <col min="1" max="1" width="40.26953125" customWidth="1"/>
    <col min="2" max="2" width="9.1796875" customWidth="1"/>
    <col min="5" max="5" width="2.81640625" customWidth="1"/>
  </cols>
  <sheetData>
    <row r="1" spans="1:17" ht="21">
      <c r="A1" s="17" t="s">
        <v>283</v>
      </c>
    </row>
    <row r="2" spans="1:17" ht="15" thickBot="1"/>
    <row r="3" spans="1:17">
      <c r="A3" s="1" t="s">
        <v>284</v>
      </c>
      <c r="B3" s="111" t="s">
        <v>254</v>
      </c>
      <c r="C3" s="6" t="s">
        <v>285</v>
      </c>
      <c r="D3" s="6" t="s">
        <v>286</v>
      </c>
      <c r="F3" s="48" t="s">
        <v>57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</row>
    <row r="4" spans="1:17">
      <c r="A4" t="str">
        <f>'Net tangible assets'!A4</f>
        <v>Property, plant and equipment</v>
      </c>
      <c r="B4" s="98">
        <f>'Net tangible assets'!B4</f>
        <v>45627</v>
      </c>
      <c r="C4" s="14">
        <f>Relationships!I7</f>
        <v>5.6000000000000001E-2</v>
      </c>
      <c r="D4" s="98">
        <f>B4*C4</f>
        <v>2555.1120000000001</v>
      </c>
      <c r="F4" s="51" t="s">
        <v>291</v>
      </c>
      <c r="G4" s="52"/>
      <c r="H4" s="52"/>
      <c r="I4" s="52"/>
      <c r="J4" s="52"/>
      <c r="K4" s="52"/>
      <c r="L4" s="52"/>
      <c r="M4" s="52"/>
      <c r="N4" s="52"/>
      <c r="O4" s="52"/>
      <c r="P4" s="52"/>
      <c r="Q4" s="53"/>
    </row>
    <row r="5" spans="1:17">
      <c r="A5" t="str">
        <f>'Net tangible assets'!A5</f>
        <v>Net working capital</v>
      </c>
      <c r="B5" s="98">
        <f>'Net tangible assets'!B5</f>
        <v>2568</v>
      </c>
      <c r="C5" s="14">
        <f>Relationships!I6</f>
        <v>4.2000000000000003E-2</v>
      </c>
      <c r="D5" s="98">
        <f>B5*C5</f>
        <v>107.85600000000001</v>
      </c>
      <c r="F5" s="51" t="s">
        <v>294</v>
      </c>
      <c r="G5" s="52"/>
      <c r="H5" s="52"/>
      <c r="I5" s="52"/>
      <c r="J5" s="52"/>
      <c r="K5" s="52"/>
      <c r="L5" s="52"/>
      <c r="M5" s="52"/>
      <c r="N5" s="52"/>
      <c r="O5" s="52"/>
      <c r="P5" s="52"/>
      <c r="Q5" s="53"/>
    </row>
    <row r="6" spans="1:17">
      <c r="A6" t="str">
        <f>'Net tangible assets'!A6</f>
        <v>Other net tangible operating assets</v>
      </c>
      <c r="B6" s="96">
        <f>'Net tangible assets'!B6</f>
        <v>-507</v>
      </c>
      <c r="C6" s="112">
        <f>C4</f>
        <v>5.6000000000000001E-2</v>
      </c>
      <c r="D6" s="96">
        <f>B6*C6</f>
        <v>-28.391999999999999</v>
      </c>
      <c r="F6" s="51" t="s">
        <v>289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</row>
    <row r="7" spans="1:17">
      <c r="A7" t="s">
        <v>288</v>
      </c>
      <c r="B7" s="9">
        <f>SUM(B4:B6)</f>
        <v>47688</v>
      </c>
      <c r="C7" s="14">
        <f>D7/B7</f>
        <v>5.5246099647710128E-2</v>
      </c>
      <c r="D7" s="30">
        <f>SUM(D4:D6)</f>
        <v>2634.5760000000005</v>
      </c>
      <c r="F7" s="51" t="s">
        <v>295</v>
      </c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</row>
    <row r="8" spans="1:17" ht="15" thickBot="1">
      <c r="A8" t="s">
        <v>287</v>
      </c>
      <c r="B8" s="113">
        <f>Goodwill!B12</f>
        <v>92603.547388896346</v>
      </c>
      <c r="C8" s="101">
        <f>D8/B8</f>
        <v>0.12190309052852318</v>
      </c>
      <c r="D8" s="35">
        <f>D9-D7</f>
        <v>11288.658620611017</v>
      </c>
      <c r="F8" s="54"/>
      <c r="G8" s="55"/>
      <c r="H8" s="55"/>
      <c r="I8" s="55"/>
      <c r="J8" s="55"/>
      <c r="K8" s="55"/>
      <c r="L8" s="55"/>
      <c r="M8" s="55"/>
      <c r="N8" s="55"/>
      <c r="O8" s="55"/>
      <c r="P8" s="55"/>
      <c r="Q8" s="56"/>
    </row>
    <row r="9" spans="1:17">
      <c r="A9" t="s">
        <v>272</v>
      </c>
      <c r="B9" s="9">
        <f>'Fair value of business'!B7</f>
        <v>140291.54738889635</v>
      </c>
      <c r="C9" s="14">
        <f>'Cash flows'!B24</f>
        <v>9.9245E-2</v>
      </c>
      <c r="D9" s="9">
        <f>B9*C9</f>
        <v>13923.234620611018</v>
      </c>
    </row>
    <row r="11" spans="1:17">
      <c r="A11" s="1" t="s">
        <v>290</v>
      </c>
      <c r="C11" s="42">
        <f>C8</f>
        <v>0.12190309052852318</v>
      </c>
    </row>
    <row r="12" spans="1:17">
      <c r="B12" s="9"/>
    </row>
    <row r="13" spans="1:17">
      <c r="A13" s="1" t="s">
        <v>287</v>
      </c>
      <c r="B13" s="111" t="s">
        <v>254</v>
      </c>
      <c r="C13" s="6" t="s">
        <v>285</v>
      </c>
      <c r="D13" s="6" t="s">
        <v>286</v>
      </c>
    </row>
    <row r="14" spans="1:17">
      <c r="A14" t="s">
        <v>274</v>
      </c>
      <c r="B14" s="98">
        <f>Goodwill!B19</f>
        <v>29570.773723770195</v>
      </c>
      <c r="C14" s="14">
        <f>Brandname!B15</f>
        <v>0.10924499999999999</v>
      </c>
      <c r="D14" s="98">
        <f>B14*C14</f>
        <v>3230.4591754532748</v>
      </c>
    </row>
    <row r="15" spans="1:17">
      <c r="A15" t="s">
        <v>145</v>
      </c>
      <c r="B15" s="98">
        <f>Goodwill!B20</f>
        <v>8079.9846400000006</v>
      </c>
      <c r="C15" s="14">
        <f>Relationships!I9</f>
        <v>0.119245</v>
      </c>
      <c r="D15" s="98">
        <f t="shared" ref="D15:D18" si="0">B15*C15</f>
        <v>963.4977683968001</v>
      </c>
    </row>
    <row r="16" spans="1:17">
      <c r="A16" t="s">
        <v>216</v>
      </c>
      <c r="B16" s="98">
        <f>Goodwill!B21</f>
        <v>3016.2376192361089</v>
      </c>
      <c r="C16" s="14">
        <f>'Non-compete'!B15</f>
        <v>0.119245</v>
      </c>
      <c r="D16" s="98">
        <f t="shared" si="0"/>
        <v>359.6712549058098</v>
      </c>
    </row>
    <row r="17" spans="1:4">
      <c r="A17" t="s">
        <v>146</v>
      </c>
      <c r="B17" s="98">
        <f>Goodwill!B22</f>
        <v>12618.864278458193</v>
      </c>
      <c r="C17" s="14">
        <f>Relationships!B29</f>
        <v>0.10924499999999999</v>
      </c>
      <c r="D17" s="98">
        <f t="shared" si="0"/>
        <v>1378.5478281001654</v>
      </c>
    </row>
    <row r="18" spans="1:4">
      <c r="A18" t="s">
        <v>292</v>
      </c>
      <c r="B18" s="96">
        <f>Workforce!G29/1000</f>
        <v>579.8251602564103</v>
      </c>
      <c r="C18" s="101">
        <f>Relationships!I10</f>
        <v>0.119245</v>
      </c>
      <c r="D18" s="96">
        <f t="shared" si="0"/>
        <v>69.141251234775652</v>
      </c>
    </row>
    <row r="19" spans="1:4">
      <c r="A19" s="1" t="s">
        <v>185</v>
      </c>
      <c r="B19" s="98">
        <f>SUM(B14:B18)</f>
        <v>53865.685421720918</v>
      </c>
      <c r="C19" s="14">
        <f>D19/B19</f>
        <v>0.11141262254635381</v>
      </c>
      <c r="D19" s="98">
        <f>SUM(D14:D18)</f>
        <v>6001.3172780908262</v>
      </c>
    </row>
    <row r="20" spans="1:4">
      <c r="B20" s="98"/>
      <c r="C20" s="14"/>
    </row>
    <row r="21" spans="1:4">
      <c r="A21" s="1" t="s">
        <v>293</v>
      </c>
      <c r="B21" s="98">
        <f>B8-B19</f>
        <v>38737.861967175428</v>
      </c>
      <c r="C21" s="42">
        <f>D21/B21</f>
        <v>0.13649027266916344</v>
      </c>
      <c r="D21" s="30">
        <f>D8-D19</f>
        <v>5287.3413425201907</v>
      </c>
    </row>
    <row r="22" spans="1:4">
      <c r="B22" s="98"/>
      <c r="C22" s="1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&amp;L&amp;"-,Bold"&amp;K002F6CPurchase Price Allocation Template&amp;R&amp;G</oddHeader>
    <oddFooter>&amp;C&amp;9&amp;A&amp;R&amp;9Page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97993-96A2-4DC8-9203-4B08AF1F20E9}">
  <dimension ref="A1:B17"/>
  <sheetViews>
    <sheetView showGridLines="0" zoomScaleNormal="100" workbookViewId="0">
      <selection activeCell="B18" sqref="B18"/>
    </sheetView>
  </sheetViews>
  <sheetFormatPr defaultRowHeight="14.5"/>
  <cols>
    <col min="1" max="1" width="4.26953125" customWidth="1"/>
    <col min="2" max="2" width="49.7265625" bestFit="1" customWidth="1"/>
    <col min="3" max="3" width="9.1796875" customWidth="1"/>
  </cols>
  <sheetData>
    <row r="1" spans="1:2" ht="21">
      <c r="A1" s="17" t="s">
        <v>70</v>
      </c>
    </row>
    <row r="3" spans="1:2">
      <c r="A3" s="45">
        <f t="shared" ref="A3:A16" si="0">A2+1</f>
        <v>1</v>
      </c>
      <c r="B3" s="114" t="str">
        <f>'Business combination'!A1</f>
        <v>Business combination?</v>
      </c>
    </row>
    <row r="4" spans="1:2">
      <c r="A4" s="45">
        <f t="shared" si="0"/>
        <v>2</v>
      </c>
      <c r="B4" s="114" t="str">
        <f>'Purchase price'!A1</f>
        <v>Purchase price</v>
      </c>
    </row>
    <row r="5" spans="1:2">
      <c r="A5" s="45">
        <f t="shared" si="0"/>
        <v>3</v>
      </c>
      <c r="B5" s="114" t="str">
        <f>'Net tangible assets'!A1</f>
        <v>Net tangible assets</v>
      </c>
    </row>
    <row r="6" spans="1:2">
      <c r="A6" s="45">
        <f t="shared" si="0"/>
        <v>4</v>
      </c>
      <c r="B6" s="114" t="str">
        <f>'Fair value of business'!A1</f>
        <v>Fair value of business</v>
      </c>
    </row>
    <row r="7" spans="1:2">
      <c r="A7" s="45">
        <f t="shared" si="0"/>
        <v>5</v>
      </c>
      <c r="B7" s="114" t="str">
        <f>'Cash flows'!A1</f>
        <v>Cash flows &amp; IRR</v>
      </c>
    </row>
    <row r="8" spans="1:2">
      <c r="A8" s="45">
        <f t="shared" si="0"/>
        <v>6</v>
      </c>
      <c r="B8" s="114" t="str">
        <f>'Discount rate'!A1</f>
        <v>Discount rate</v>
      </c>
    </row>
    <row r="9" spans="1:2">
      <c r="A9" s="45">
        <f t="shared" si="0"/>
        <v>7</v>
      </c>
      <c r="B9" s="114" t="str">
        <f>'Identify intangibles'!A1</f>
        <v>Identifying intangibles</v>
      </c>
    </row>
    <row r="10" spans="1:2">
      <c r="A10" s="45">
        <f t="shared" si="0"/>
        <v>8</v>
      </c>
      <c r="B10" s="114" t="str">
        <f>Brandname!A1</f>
        <v>Brandname - relief from royalty</v>
      </c>
    </row>
    <row r="11" spans="1:2">
      <c r="A11" s="45">
        <f t="shared" si="0"/>
        <v>9</v>
      </c>
      <c r="B11" s="114" t="str">
        <f>Software!A1</f>
        <v>Software - cost to recreate</v>
      </c>
    </row>
    <row r="12" spans="1:2">
      <c r="A12" s="45">
        <f t="shared" si="0"/>
        <v>10</v>
      </c>
      <c r="B12" s="114" t="str">
        <f>'Non-compete'!A1</f>
        <v>Non-compete - incremental cashflows</v>
      </c>
    </row>
    <row r="13" spans="1:2">
      <c r="A13" s="45">
        <f t="shared" si="0"/>
        <v>11</v>
      </c>
      <c r="B13" s="114" t="str">
        <f>Workforce!A1</f>
        <v>Workforce - cost to recreate</v>
      </c>
    </row>
    <row r="14" spans="1:2">
      <c r="A14" s="45">
        <f t="shared" si="0"/>
        <v>12</v>
      </c>
      <c r="B14" s="114" t="str">
        <f>Relationships!A1</f>
        <v>Customer relationships - multi period excess earnings</v>
      </c>
    </row>
    <row r="15" spans="1:2">
      <c r="A15" s="45">
        <f t="shared" si="0"/>
        <v>13</v>
      </c>
      <c r="B15" s="114" t="str">
        <f>Goodwill!A1</f>
        <v>Goodwill</v>
      </c>
    </row>
    <row r="16" spans="1:2">
      <c r="A16" s="45">
        <f t="shared" si="0"/>
        <v>14</v>
      </c>
      <c r="B16" s="114" t="str">
        <f>'WACC WARA'!A1</f>
        <v>WACC and WARA</v>
      </c>
    </row>
    <row r="17" spans="1:1">
      <c r="A17" s="45"/>
    </row>
  </sheetData>
  <hyperlinks>
    <hyperlink ref="B3" location="'Business combination'!A1" display="'Business combination'!A1" xr:uid="{2E4BCBD1-F22F-42AA-9172-E92CA401931E}"/>
    <hyperlink ref="B4" location="'Purchase price'!A1" display="'Purchase price'!A1" xr:uid="{415021FC-3F99-48A3-81D5-55BBBFCF8434}"/>
    <hyperlink ref="B5" location="'Net tangible assets'!A1" display="'Net tangible assets'!A1" xr:uid="{46FDA2E6-DCC3-4B1A-B58B-16390E0EDB52}"/>
    <hyperlink ref="B6" location="'Fair value of business'!A1" display="'Fair value of business'!A1" xr:uid="{EBBB6658-12D4-4142-8941-4D110152F2AE}"/>
    <hyperlink ref="B7" location="'Cash flows'!A1" display="'Cash flows'!A1" xr:uid="{9C553DE7-76FD-4DFE-A708-9109F697E08A}"/>
    <hyperlink ref="B8" location="'Discount rate'!A1" display="'Discount rate'!A1" xr:uid="{EF94782E-F3D7-4A50-8AB2-55BE7D238C27}"/>
    <hyperlink ref="B9" location="'Identify intangibles'!A1" display="'Identify intangibles'!A1" xr:uid="{A3A88314-CEFE-44B8-8C76-AA67ED514970}"/>
    <hyperlink ref="B10" location="Brandname!A1" display="Brandname!A1" xr:uid="{5DEC97CF-C44D-47B3-A97D-66605402910B}"/>
    <hyperlink ref="B11" location="Software!A1" display="Software!A1" xr:uid="{74428FA9-6334-4507-BA38-C495B2C87A5D}"/>
    <hyperlink ref="B12" location="'Non-compete'!A1" display="'Non-compete'!A1" xr:uid="{DC8E0E10-D4FE-458C-A49D-3BB3A8E0FA67}"/>
    <hyperlink ref="B13" location="Workforce!A1" display="Workforce!A1" xr:uid="{6845F6B1-90C0-4029-BACE-C8C0BBF5CE40}"/>
    <hyperlink ref="B14" location="Relationships!A1" display="Relationships!A1" xr:uid="{EDE194D9-4526-466C-AB01-D370216EFCAF}"/>
    <hyperlink ref="B15" location="Goodwill!A1" display="Goodwill!A1" xr:uid="{B44B78ED-1FA7-449B-9BC7-64A476475B23}"/>
    <hyperlink ref="B16" location="'WACC WARA'!A1" display="'WACC WARA'!A1" xr:uid="{E6D71C12-E8E2-4949-82D8-BCCD9F8D8AB5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&amp;L&amp;"-,Bold"&amp;K002F6CPurchase Price Allocation Template&amp;R&amp;G</oddHeader>
    <oddFooter>&amp;C&amp;9&amp;A&amp;R&amp;9Page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showGridLines="0" zoomScaleNormal="100" workbookViewId="0"/>
  </sheetViews>
  <sheetFormatPr defaultRowHeight="14.5"/>
  <cols>
    <col min="1" max="1" width="16.1796875" customWidth="1"/>
    <col min="2" max="2" width="15.1796875" bestFit="1" customWidth="1"/>
  </cols>
  <sheetData>
    <row r="1" spans="1:8" ht="21">
      <c r="A1" s="44" t="s">
        <v>109</v>
      </c>
      <c r="B1" s="44"/>
    </row>
    <row r="3" spans="1:8" ht="17">
      <c r="A3" s="7" t="s">
        <v>60</v>
      </c>
    </row>
    <row r="4" spans="1:8">
      <c r="A4" t="s">
        <v>61</v>
      </c>
    </row>
    <row r="5" spans="1:8">
      <c r="A5" s="124" t="s">
        <v>62</v>
      </c>
      <c r="B5" s="124"/>
      <c r="C5" s="124"/>
      <c r="D5" s="124"/>
      <c r="E5" s="124"/>
      <c r="F5" s="124"/>
      <c r="G5" s="124"/>
      <c r="H5" s="124"/>
    </row>
    <row r="6" spans="1:8">
      <c r="A6" s="124"/>
      <c r="B6" s="124"/>
      <c r="C6" s="124"/>
      <c r="D6" s="124"/>
      <c r="E6" s="124"/>
      <c r="F6" s="124"/>
      <c r="G6" s="124"/>
      <c r="H6" s="124"/>
    </row>
    <row r="7" spans="1:8">
      <c r="A7" s="124"/>
      <c r="B7" s="124"/>
      <c r="C7" s="124"/>
      <c r="D7" s="124"/>
      <c r="E7" s="124"/>
      <c r="F7" s="124"/>
      <c r="G7" s="124"/>
      <c r="H7" s="124"/>
    </row>
    <row r="8" spans="1:8">
      <c r="H8" s="32" t="s">
        <v>71</v>
      </c>
    </row>
    <row r="10" spans="1:8" ht="17">
      <c r="A10" s="7" t="s">
        <v>110</v>
      </c>
    </row>
    <row r="11" spans="1:8">
      <c r="A11" s="23" t="s">
        <v>111</v>
      </c>
      <c r="B11" s="2" t="s">
        <v>112</v>
      </c>
    </row>
    <row r="12" spans="1:8">
      <c r="A12" s="23" t="s">
        <v>114</v>
      </c>
      <c r="B12" s="2" t="s">
        <v>113</v>
      </c>
    </row>
    <row r="13" spans="1:8">
      <c r="A13" s="23" t="s">
        <v>115</v>
      </c>
      <c r="B13" s="3">
        <v>43100</v>
      </c>
    </row>
  </sheetData>
  <mergeCells count="1">
    <mergeCell ref="A5:H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&amp;L&amp;"-,Bold"&amp;K002F6CPurchase Price Allocation Template&amp;R&amp;G</oddHeader>
    <oddFooter>&amp;C&amp;9&amp;A&amp;R&amp;9Page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5"/>
  <sheetViews>
    <sheetView showGridLines="0" topLeftCell="A3" zoomScaleNormal="100" workbookViewId="0">
      <selection activeCell="I19" sqref="I19"/>
    </sheetView>
  </sheetViews>
  <sheetFormatPr defaultRowHeight="14.5"/>
  <cols>
    <col min="1" max="1" width="30.1796875" customWidth="1"/>
    <col min="2" max="2" width="9.1796875" customWidth="1"/>
    <col min="5" max="5" width="9.1796875" customWidth="1"/>
    <col min="7" max="7" width="2.81640625" customWidth="1"/>
  </cols>
  <sheetData>
    <row r="1" spans="1:19" ht="21">
      <c r="A1" s="17" t="s">
        <v>7</v>
      </c>
    </row>
    <row r="2" spans="1:19" ht="15" thickBot="1"/>
    <row r="3" spans="1:19" ht="17">
      <c r="A3" s="7" t="s">
        <v>13</v>
      </c>
      <c r="B3" s="6" t="s">
        <v>12</v>
      </c>
      <c r="H3" s="48" t="s">
        <v>57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</row>
    <row r="4" spans="1:19">
      <c r="A4" t="s">
        <v>6</v>
      </c>
      <c r="B4" s="24">
        <v>25000</v>
      </c>
      <c r="H4" s="51" t="s">
        <v>63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53"/>
    </row>
    <row r="5" spans="1:19">
      <c r="A5" t="s">
        <v>14</v>
      </c>
      <c r="B5" s="24">
        <v>126</v>
      </c>
      <c r="H5" s="51" t="s">
        <v>58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3"/>
    </row>
    <row r="6" spans="1:19">
      <c r="A6" t="s">
        <v>28</v>
      </c>
      <c r="B6" s="9">
        <f>B15</f>
        <v>34250</v>
      </c>
      <c r="H6" s="51" t="s">
        <v>65</v>
      </c>
      <c r="I6" s="52"/>
      <c r="J6" s="52"/>
      <c r="K6" s="52"/>
      <c r="L6" s="52"/>
      <c r="M6" s="52"/>
      <c r="N6" s="52"/>
      <c r="O6" s="52"/>
      <c r="P6" s="52"/>
      <c r="Q6" s="52"/>
      <c r="R6" s="52"/>
      <c r="S6" s="53"/>
    </row>
    <row r="7" spans="1:19">
      <c r="A7" t="s">
        <v>8</v>
      </c>
      <c r="B7" s="10">
        <f>E25</f>
        <v>13687.739739249639</v>
      </c>
      <c r="H7" s="51" t="s">
        <v>64</v>
      </c>
      <c r="I7" s="52"/>
      <c r="J7" s="52"/>
      <c r="K7" s="52"/>
      <c r="L7" s="52"/>
      <c r="M7" s="52"/>
      <c r="N7" s="52"/>
      <c r="O7" s="52"/>
      <c r="P7" s="52"/>
      <c r="Q7" s="52"/>
      <c r="R7" s="52"/>
      <c r="S7" s="53"/>
    </row>
    <row r="8" spans="1:19">
      <c r="A8" t="s">
        <v>9</v>
      </c>
      <c r="B8" s="10">
        <f>F35</f>
        <v>7080.8076496467147</v>
      </c>
      <c r="H8" s="51" t="s">
        <v>328</v>
      </c>
      <c r="I8" s="52"/>
      <c r="J8" s="52"/>
      <c r="K8" s="52"/>
      <c r="L8" s="52"/>
      <c r="M8" s="52"/>
      <c r="N8" s="52"/>
      <c r="O8" s="52"/>
      <c r="P8" s="52"/>
      <c r="Q8" s="52"/>
      <c r="R8" s="52"/>
      <c r="S8" s="53"/>
    </row>
    <row r="9" spans="1:19">
      <c r="A9" t="s">
        <v>10</v>
      </c>
      <c r="B9" s="11">
        <f>B45</f>
        <v>12500</v>
      </c>
      <c r="H9" s="51" t="s">
        <v>329</v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53"/>
    </row>
    <row r="10" spans="1:19">
      <c r="A10" s="1" t="s">
        <v>11</v>
      </c>
      <c r="B10" s="16">
        <f>SUM(B4:B9)</f>
        <v>92644.547388896346</v>
      </c>
      <c r="H10" s="51" t="s">
        <v>330</v>
      </c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3"/>
    </row>
    <row r="11" spans="1:19" ht="15" thickBot="1">
      <c r="H11" s="54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6"/>
    </row>
    <row r="12" spans="1:19" ht="17">
      <c r="A12" s="7" t="s">
        <v>28</v>
      </c>
    </row>
    <row r="13" spans="1:19">
      <c r="A13" t="s">
        <v>31</v>
      </c>
      <c r="B13" s="18">
        <v>1.37</v>
      </c>
    </row>
    <row r="14" spans="1:19">
      <c r="A14" t="s">
        <v>29</v>
      </c>
      <c r="B14" s="12">
        <v>25000</v>
      </c>
    </row>
    <row r="15" spans="1:19">
      <c r="A15" s="1" t="s">
        <v>30</v>
      </c>
      <c r="B15" s="16">
        <f>B14*B13</f>
        <v>34250</v>
      </c>
    </row>
    <row r="17" spans="1:6" ht="17">
      <c r="A17" s="7" t="s">
        <v>8</v>
      </c>
    </row>
    <row r="18" spans="1:6">
      <c r="A18" s="1" t="s">
        <v>15</v>
      </c>
      <c r="B18" s="6" t="s">
        <v>16</v>
      </c>
      <c r="C18" s="6" t="s">
        <v>17</v>
      </c>
      <c r="D18" s="6" t="s">
        <v>21</v>
      </c>
      <c r="E18" s="6" t="s">
        <v>22</v>
      </c>
    </row>
    <row r="19" spans="1:6">
      <c r="B19" s="6" t="s">
        <v>12</v>
      </c>
      <c r="C19" s="6" t="s">
        <v>19</v>
      </c>
      <c r="D19" s="6" t="s">
        <v>20</v>
      </c>
      <c r="E19" s="6" t="s">
        <v>12</v>
      </c>
    </row>
    <row r="20" spans="1:6">
      <c r="A20" s="2" t="s">
        <v>23</v>
      </c>
      <c r="B20" s="8">
        <v>2500</v>
      </c>
      <c r="C20" s="4">
        <v>1</v>
      </c>
      <c r="D20" s="15">
        <v>6.5000000000000002E-2</v>
      </c>
      <c r="E20" s="10">
        <f>B20/(1+D20)^C20</f>
        <v>2347.4178403755868</v>
      </c>
    </row>
    <row r="21" spans="1:6">
      <c r="A21" s="2" t="s">
        <v>24</v>
      </c>
      <c r="B21" s="8">
        <v>2500</v>
      </c>
      <c r="C21" s="4">
        <v>1.5</v>
      </c>
      <c r="D21" s="15">
        <v>6.5000000000000002E-2</v>
      </c>
      <c r="E21" s="10">
        <f t="shared" ref="E21:E24" si="0">B21/(1+D21)^C21</f>
        <v>2274.6553197723442</v>
      </c>
    </row>
    <row r="22" spans="1:6">
      <c r="A22" s="2" t="s">
        <v>25</v>
      </c>
      <c r="B22" s="8">
        <v>3000</v>
      </c>
      <c r="C22" s="4">
        <v>2</v>
      </c>
      <c r="D22" s="15">
        <v>6.5000000000000002E-2</v>
      </c>
      <c r="E22" s="10">
        <f t="shared" si="0"/>
        <v>2644.977848310521</v>
      </c>
    </row>
    <row r="23" spans="1:6">
      <c r="A23" s="2" t="s">
        <v>26</v>
      </c>
      <c r="B23" s="8">
        <v>4000</v>
      </c>
      <c r="C23" s="4">
        <v>3</v>
      </c>
      <c r="D23" s="15">
        <v>6.5000000000000002E-2</v>
      </c>
      <c r="E23" s="10">
        <f t="shared" si="0"/>
        <v>3311.3963672119198</v>
      </c>
    </row>
    <row r="24" spans="1:6">
      <c r="A24" s="2" t="s">
        <v>27</v>
      </c>
      <c r="B24" s="8">
        <v>4000</v>
      </c>
      <c r="C24" s="4">
        <v>4</v>
      </c>
      <c r="D24" s="15">
        <v>6.5000000000000002E-2</v>
      </c>
      <c r="E24" s="10">
        <f t="shared" si="0"/>
        <v>3109.2923635792677</v>
      </c>
    </row>
    <row r="25" spans="1:6">
      <c r="E25" s="16">
        <f>SUM(E20:E24)</f>
        <v>13687.739739249639</v>
      </c>
    </row>
    <row r="27" spans="1:6" ht="17">
      <c r="A27" s="7" t="s">
        <v>9</v>
      </c>
    </row>
    <row r="28" spans="1:6">
      <c r="A28" s="1" t="s">
        <v>38</v>
      </c>
      <c r="B28" s="6" t="s">
        <v>16</v>
      </c>
      <c r="C28" s="6" t="s">
        <v>44</v>
      </c>
      <c r="D28" s="6" t="s">
        <v>17</v>
      </c>
      <c r="E28" s="6" t="s">
        <v>21</v>
      </c>
      <c r="F28" s="6" t="s">
        <v>22</v>
      </c>
    </row>
    <row r="29" spans="1:6">
      <c r="B29" s="6" t="s">
        <v>12</v>
      </c>
      <c r="C29" s="6" t="s">
        <v>20</v>
      </c>
      <c r="D29" s="6" t="s">
        <v>19</v>
      </c>
      <c r="E29" s="6" t="s">
        <v>20</v>
      </c>
      <c r="F29" s="6" t="s">
        <v>12</v>
      </c>
    </row>
    <row r="30" spans="1:6">
      <c r="A30" s="2" t="s">
        <v>39</v>
      </c>
      <c r="B30" s="8">
        <v>0</v>
      </c>
      <c r="C30" s="19">
        <v>0.1</v>
      </c>
      <c r="D30" s="4">
        <v>2.5</v>
      </c>
      <c r="E30" s="15">
        <v>0.12</v>
      </c>
      <c r="F30" s="10">
        <f>C30*B30/(1+E30)^D30</f>
        <v>0</v>
      </c>
    </row>
    <row r="31" spans="1:6">
      <c r="A31" s="2" t="s">
        <v>40</v>
      </c>
      <c r="B31" s="8">
        <v>0</v>
      </c>
      <c r="C31" s="19">
        <v>0.25</v>
      </c>
      <c r="D31" s="4">
        <v>2.5</v>
      </c>
      <c r="E31" s="15">
        <v>0.12</v>
      </c>
      <c r="F31" s="10">
        <f t="shared" ref="F31:F34" si="1">C31*B31/(1+E31)^D31</f>
        <v>0</v>
      </c>
    </row>
    <row r="32" spans="1:6">
      <c r="A32" s="2" t="s">
        <v>41</v>
      </c>
      <c r="B32" s="8">
        <v>3000</v>
      </c>
      <c r="C32" s="19">
        <v>0.3</v>
      </c>
      <c r="D32" s="4">
        <v>2.5</v>
      </c>
      <c r="E32" s="15">
        <v>0.12</v>
      </c>
      <c r="F32" s="10">
        <f t="shared" si="1"/>
        <v>677.94966858319594</v>
      </c>
    </row>
    <row r="33" spans="1:6">
      <c r="A33" s="2" t="s">
        <v>42</v>
      </c>
      <c r="B33" s="8">
        <v>20000</v>
      </c>
      <c r="C33" s="19">
        <v>0.25</v>
      </c>
      <c r="D33" s="4">
        <v>2.5</v>
      </c>
      <c r="E33" s="15">
        <v>0.12</v>
      </c>
      <c r="F33" s="10">
        <f t="shared" si="1"/>
        <v>3766.3870476844222</v>
      </c>
    </row>
    <row r="34" spans="1:6">
      <c r="A34" s="2" t="s">
        <v>43</v>
      </c>
      <c r="B34" s="8">
        <v>35000</v>
      </c>
      <c r="C34" s="19">
        <v>0.1</v>
      </c>
      <c r="D34" s="4">
        <v>2.5</v>
      </c>
      <c r="E34" s="15">
        <v>0.12</v>
      </c>
      <c r="F34" s="10">
        <f t="shared" si="1"/>
        <v>2636.4709333790956</v>
      </c>
    </row>
    <row r="35" spans="1:6">
      <c r="C35" s="21">
        <f>SUM(C30:C34)</f>
        <v>0.99999999999999989</v>
      </c>
      <c r="F35" s="16">
        <f>SUM(F30:F34)</f>
        <v>7080.8076496467147</v>
      </c>
    </row>
    <row r="37" spans="1:6" ht="17">
      <c r="A37" s="7" t="s">
        <v>32</v>
      </c>
    </row>
    <row r="38" spans="1:6">
      <c r="A38" s="1" t="s">
        <v>15</v>
      </c>
      <c r="B38" s="6" t="s">
        <v>16</v>
      </c>
    </row>
    <row r="39" spans="1:6">
      <c r="B39" s="6" t="s">
        <v>12</v>
      </c>
    </row>
    <row r="40" spans="1:6">
      <c r="A40" s="2" t="s">
        <v>33</v>
      </c>
      <c r="B40" s="8">
        <v>2500</v>
      </c>
    </row>
    <row r="41" spans="1:6">
      <c r="A41" s="2" t="s">
        <v>34</v>
      </c>
      <c r="B41" s="8">
        <v>2500</v>
      </c>
    </row>
    <row r="42" spans="1:6">
      <c r="A42" s="2" t="s">
        <v>35</v>
      </c>
      <c r="B42" s="8">
        <v>2500</v>
      </c>
    </row>
    <row r="43" spans="1:6">
      <c r="A43" s="2" t="s">
        <v>36</v>
      </c>
      <c r="B43" s="8">
        <v>2500</v>
      </c>
    </row>
    <row r="44" spans="1:6">
      <c r="A44" s="2" t="s">
        <v>37</v>
      </c>
      <c r="B44" s="8">
        <v>2500</v>
      </c>
    </row>
    <row r="45" spans="1:6">
      <c r="B45" s="16">
        <f>SUM(B40:B44)</f>
        <v>12500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&amp;L&amp;"-,Bold"&amp;K002F6CPurchase Price Allocation Template&amp;R&amp;G</oddHeader>
    <oddFooter>&amp;C&amp;9&amp;A&amp;R&amp;9Page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F2B49-385C-46E9-9209-43AB847368A0}">
  <dimension ref="A1:O15"/>
  <sheetViews>
    <sheetView showGridLines="0" zoomScaleNormal="100" workbookViewId="0">
      <selection activeCell="H32" sqref="H32"/>
    </sheetView>
  </sheetViews>
  <sheetFormatPr defaultRowHeight="14.5"/>
  <cols>
    <col min="1" max="1" width="32.81640625" bestFit="1" customWidth="1"/>
    <col min="2" max="2" width="9.1796875" customWidth="1"/>
    <col min="3" max="3" width="2.81640625" customWidth="1"/>
  </cols>
  <sheetData>
    <row r="1" spans="1:15" ht="21">
      <c r="A1" s="17" t="s">
        <v>49</v>
      </c>
    </row>
    <row r="2" spans="1:15" ht="15" thickBot="1"/>
    <row r="3" spans="1:15">
      <c r="A3" s="1"/>
      <c r="B3" s="6" t="s">
        <v>12</v>
      </c>
      <c r="D3" s="48" t="s">
        <v>57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5">
      <c r="A4" s="23" t="s">
        <v>50</v>
      </c>
      <c r="B4" s="24">
        <v>45627</v>
      </c>
      <c r="D4" s="51" t="s">
        <v>63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3"/>
    </row>
    <row r="5" spans="1:15">
      <c r="A5" s="23" t="s">
        <v>51</v>
      </c>
      <c r="B5" s="24">
        <v>2568</v>
      </c>
      <c r="D5" s="51" t="s">
        <v>325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</row>
    <row r="6" spans="1:15">
      <c r="A6" s="23" t="s">
        <v>52</v>
      </c>
      <c r="B6" s="24">
        <v>-507</v>
      </c>
      <c r="D6" s="51" t="s">
        <v>147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</row>
    <row r="7" spans="1:15">
      <c r="A7" s="22" t="s">
        <v>45</v>
      </c>
      <c r="B7" s="16">
        <f>SUM(B4:B6)</f>
        <v>47688</v>
      </c>
      <c r="D7" s="51" t="s">
        <v>66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ht="15" thickBot="1">
      <c r="A8" s="22"/>
      <c r="B8" s="1"/>
      <c r="D8" s="54"/>
      <c r="E8" s="55"/>
      <c r="F8" s="55"/>
      <c r="G8" s="55"/>
      <c r="H8" s="55"/>
      <c r="I8" s="55"/>
      <c r="J8" s="55"/>
      <c r="K8" s="55"/>
      <c r="L8" s="55"/>
      <c r="M8" s="55"/>
      <c r="N8" s="55"/>
      <c r="O8" s="56"/>
    </row>
    <row r="9" spans="1:15">
      <c r="A9" s="23" t="s">
        <v>47</v>
      </c>
      <c r="B9" s="24">
        <v>-35897</v>
      </c>
    </row>
    <row r="10" spans="1:15">
      <c r="A10" s="23" t="s">
        <v>46</v>
      </c>
      <c r="B10" s="26">
        <v>250</v>
      </c>
    </row>
    <row r="11" spans="1:15">
      <c r="A11" s="23" t="s">
        <v>54</v>
      </c>
      <c r="B11" s="24">
        <v>-2500</v>
      </c>
    </row>
    <row r="12" spans="1:15">
      <c r="A12" s="22" t="s">
        <v>53</v>
      </c>
      <c r="B12" s="25">
        <f>SUM(B9:B11)</f>
        <v>-38147</v>
      </c>
    </row>
    <row r="14" spans="1:15" ht="15" thickBot="1">
      <c r="A14" s="22" t="s">
        <v>48</v>
      </c>
      <c r="B14" s="27">
        <f>B7+B12</f>
        <v>9541</v>
      </c>
    </row>
    <row r="15" spans="1:15" ht="15" thickTop="1"/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&amp;L&amp;"-,Bold"&amp;K002F6CPurchase Price Allocation Template&amp;R&amp;G</oddHeader>
    <oddFooter>&amp;C&amp;9&amp;A&amp;R&amp;9Page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5957D-4FDC-4940-9673-82E513B94F96}">
  <dimension ref="A1:O10"/>
  <sheetViews>
    <sheetView showGridLines="0" zoomScaleNormal="100" workbookViewId="0">
      <selection activeCell="B4" sqref="B4"/>
    </sheetView>
  </sheetViews>
  <sheetFormatPr defaultRowHeight="14.5"/>
  <cols>
    <col min="1" max="1" width="32.81640625" bestFit="1" customWidth="1"/>
    <col min="2" max="2" width="9.1796875" customWidth="1"/>
    <col min="3" max="3" width="2.81640625" customWidth="1"/>
  </cols>
  <sheetData>
    <row r="1" spans="1:15" ht="21">
      <c r="A1" s="17" t="s">
        <v>69</v>
      </c>
    </row>
    <row r="2" spans="1:15" ht="15" thickBot="1"/>
    <row r="3" spans="1:15">
      <c r="A3" s="1"/>
      <c r="B3" s="6" t="s">
        <v>12</v>
      </c>
      <c r="D3" s="48" t="s">
        <v>57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5">
      <c r="A4" s="23" t="s">
        <v>7</v>
      </c>
      <c r="B4" s="9">
        <f>'Purchase price'!B10</f>
        <v>92644.547388896346</v>
      </c>
      <c r="D4" s="51" t="s">
        <v>63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3"/>
    </row>
    <row r="5" spans="1:15" ht="15" thickBot="1">
      <c r="A5" s="23" t="s">
        <v>59</v>
      </c>
      <c r="B5" s="24">
        <v>9500</v>
      </c>
      <c r="D5" s="54"/>
      <c r="E5" s="55"/>
      <c r="F5" s="55"/>
      <c r="G5" s="55"/>
      <c r="H5" s="55"/>
      <c r="I5" s="55"/>
      <c r="J5" s="55"/>
      <c r="K5" s="55"/>
      <c r="L5" s="55"/>
      <c r="M5" s="55"/>
      <c r="N5" s="55"/>
      <c r="O5" s="56"/>
    </row>
    <row r="6" spans="1:15">
      <c r="A6" s="23" t="s">
        <v>67</v>
      </c>
      <c r="B6" s="9">
        <f>-'Net tangible assets'!B12</f>
        <v>38147</v>
      </c>
    </row>
    <row r="7" spans="1:15">
      <c r="A7" s="22" t="s">
        <v>68</v>
      </c>
      <c r="B7" s="16">
        <f>SUM(B4:B6)</f>
        <v>140291.54738889635</v>
      </c>
    </row>
    <row r="8" spans="1:15">
      <c r="A8" s="22"/>
      <c r="B8" s="1"/>
    </row>
    <row r="9" spans="1:15">
      <c r="A9" s="28" t="s">
        <v>55</v>
      </c>
      <c r="B9" s="29">
        <f>B7-'Net tangible assets'!B7</f>
        <v>92603.547388896346</v>
      </c>
    </row>
    <row r="10" spans="1:15">
      <c r="A10" s="28" t="s">
        <v>56</v>
      </c>
      <c r="B10" s="31">
        <f>B9/B7</f>
        <v>0.66007930707467299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&amp;L&amp;"-,Bold"&amp;K002F6CPurchase Price Allocation Template&amp;R&amp;G</oddHeader>
    <oddFooter>&amp;C&amp;9&amp;A&amp;R&amp;9Page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C198A-A91B-40D7-AD1F-2E208134D989}">
  <dimension ref="A1:Y33"/>
  <sheetViews>
    <sheetView showGridLines="0" zoomScaleNormal="100" workbookViewId="0">
      <selection activeCell="H24" sqref="H24"/>
    </sheetView>
  </sheetViews>
  <sheetFormatPr defaultRowHeight="14.5"/>
  <cols>
    <col min="1" max="1" width="32.81640625" bestFit="1" customWidth="1"/>
    <col min="2" max="2" width="6.1796875" bestFit="1" customWidth="1"/>
    <col min="3" max="3" width="10.1796875" customWidth="1"/>
    <col min="4" max="4" width="9.1796875" customWidth="1"/>
    <col min="11" max="11" width="2.81640625" customWidth="1"/>
  </cols>
  <sheetData>
    <row r="1" spans="1:25" ht="21">
      <c r="A1" s="17" t="s">
        <v>119</v>
      </c>
      <c r="B1" s="17"/>
      <c r="C1" s="17"/>
    </row>
    <row r="2" spans="1:25" ht="15" thickBot="1"/>
    <row r="3" spans="1:25">
      <c r="A3" t="s">
        <v>91</v>
      </c>
      <c r="B3" s="2">
        <v>0.5</v>
      </c>
      <c r="L3" s="48" t="s">
        <v>57</v>
      </c>
      <c r="M3" s="57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</row>
    <row r="4" spans="1:25">
      <c r="A4" t="s">
        <v>92</v>
      </c>
      <c r="B4" s="19">
        <v>0.03</v>
      </c>
      <c r="L4" s="51" t="s">
        <v>117</v>
      </c>
      <c r="M4" s="58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</row>
    <row r="5" spans="1:25">
      <c r="L5" s="51" t="s">
        <v>116</v>
      </c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3"/>
    </row>
    <row r="6" spans="1:25">
      <c r="A6" s="5" t="s">
        <v>12</v>
      </c>
      <c r="B6" s="5"/>
      <c r="C6" s="6" t="s">
        <v>341</v>
      </c>
      <c r="D6" s="6" t="s">
        <v>75</v>
      </c>
      <c r="E6" s="6" t="s">
        <v>85</v>
      </c>
      <c r="F6" s="6" t="s">
        <v>86</v>
      </c>
      <c r="G6" s="6" t="s">
        <v>87</v>
      </c>
      <c r="H6" s="6" t="s">
        <v>88</v>
      </c>
      <c r="I6" s="6" t="s">
        <v>89</v>
      </c>
      <c r="J6" s="6" t="s">
        <v>90</v>
      </c>
      <c r="L6" s="51" t="s">
        <v>326</v>
      </c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>
      <c r="A7" s="23" t="s">
        <v>72</v>
      </c>
      <c r="B7" s="23"/>
      <c r="C7" s="12">
        <v>25000</v>
      </c>
      <c r="D7" s="12">
        <v>27000</v>
      </c>
      <c r="E7" s="12">
        <v>30000</v>
      </c>
      <c r="F7" s="12">
        <v>33000</v>
      </c>
      <c r="G7" s="12">
        <v>34500</v>
      </c>
      <c r="H7" s="12">
        <v>36000</v>
      </c>
      <c r="I7" s="12">
        <v>37500</v>
      </c>
      <c r="L7" s="51" t="s">
        <v>118</v>
      </c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</row>
    <row r="8" spans="1:25" ht="15" thickBot="1">
      <c r="A8" s="23" t="s">
        <v>73</v>
      </c>
      <c r="B8" s="23"/>
      <c r="C8" s="33">
        <v>-11000</v>
      </c>
      <c r="D8" s="33">
        <v>-12000</v>
      </c>
      <c r="E8" s="33">
        <v>-13500</v>
      </c>
      <c r="F8" s="33">
        <v>-15000</v>
      </c>
      <c r="G8" s="33">
        <v>-15750</v>
      </c>
      <c r="H8" s="33">
        <v>-16500</v>
      </c>
      <c r="I8" s="33">
        <v>-16800</v>
      </c>
      <c r="L8" s="54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</row>
    <row r="9" spans="1:25">
      <c r="A9" t="s">
        <v>74</v>
      </c>
      <c r="C9" s="9">
        <f>C7+C8</f>
        <v>14000</v>
      </c>
      <c r="D9" s="9">
        <f>D7+D8</f>
        <v>15000</v>
      </c>
      <c r="E9" s="9">
        <f t="shared" ref="E9:I9" si="0">E7+E8</f>
        <v>16500</v>
      </c>
      <c r="F9" s="9">
        <f t="shared" si="0"/>
        <v>18000</v>
      </c>
      <c r="G9" s="9">
        <f t="shared" si="0"/>
        <v>18750</v>
      </c>
      <c r="H9" s="9">
        <f t="shared" si="0"/>
        <v>19500</v>
      </c>
      <c r="I9" s="9">
        <f t="shared" si="0"/>
        <v>20700</v>
      </c>
    </row>
    <row r="10" spans="1:25">
      <c r="A10" t="s">
        <v>76</v>
      </c>
      <c r="C10" s="33">
        <v>-3500</v>
      </c>
      <c r="D10" s="33">
        <v>-3600</v>
      </c>
      <c r="E10" s="33">
        <v>-3900</v>
      </c>
      <c r="F10" s="33">
        <v>-4050</v>
      </c>
      <c r="G10" s="33">
        <v>-4200</v>
      </c>
      <c r="H10" s="33">
        <v>-4500</v>
      </c>
      <c r="I10" s="33">
        <v>-4650</v>
      </c>
    </row>
    <row r="11" spans="1:25">
      <c r="A11" t="s">
        <v>77</v>
      </c>
      <c r="C11" s="9">
        <f>C9+C10</f>
        <v>10500</v>
      </c>
      <c r="D11" s="9">
        <f>D9+D10</f>
        <v>11400</v>
      </c>
      <c r="E11" s="9">
        <f t="shared" ref="E11:I11" si="1">E9+E10</f>
        <v>12600</v>
      </c>
      <c r="F11" s="9">
        <f t="shared" si="1"/>
        <v>13950</v>
      </c>
      <c r="G11" s="9">
        <f t="shared" si="1"/>
        <v>14550</v>
      </c>
      <c r="H11" s="9">
        <f t="shared" si="1"/>
        <v>15000</v>
      </c>
      <c r="I11" s="9">
        <f t="shared" si="1"/>
        <v>16050</v>
      </c>
      <c r="P11" s="9"/>
    </row>
    <row r="12" spans="1:25">
      <c r="A12" t="s">
        <v>78</v>
      </c>
      <c r="C12" s="33">
        <v>-500</v>
      </c>
      <c r="D12" s="33">
        <v>-500</v>
      </c>
      <c r="E12" s="33">
        <v>-500</v>
      </c>
      <c r="F12" s="33">
        <v>-500</v>
      </c>
      <c r="G12" s="33">
        <v>-500</v>
      </c>
      <c r="H12" s="33">
        <v>-500</v>
      </c>
      <c r="I12" s="33">
        <v>-500</v>
      </c>
    </row>
    <row r="13" spans="1:25">
      <c r="A13" t="s">
        <v>81</v>
      </c>
      <c r="C13" s="9">
        <f>C11+C12</f>
        <v>10000</v>
      </c>
      <c r="D13" s="9">
        <f>D11+D12</f>
        <v>10900</v>
      </c>
      <c r="E13" s="9">
        <f t="shared" ref="E13:I13" si="2">E11+E12</f>
        <v>12100</v>
      </c>
      <c r="F13" s="9">
        <f t="shared" si="2"/>
        <v>13450</v>
      </c>
      <c r="G13" s="9">
        <f t="shared" si="2"/>
        <v>14050</v>
      </c>
      <c r="H13" s="9">
        <f t="shared" si="2"/>
        <v>14500</v>
      </c>
      <c r="I13" s="9">
        <f t="shared" si="2"/>
        <v>15550</v>
      </c>
    </row>
    <row r="14" spans="1:25">
      <c r="A14" t="s">
        <v>79</v>
      </c>
      <c r="B14" s="19">
        <v>0.3</v>
      </c>
      <c r="C14" s="33">
        <v>-3000</v>
      </c>
      <c r="D14" s="34">
        <f>-$B14*D13</f>
        <v>-3270</v>
      </c>
      <c r="E14" s="35">
        <f>-$B14*E13</f>
        <v>-3630</v>
      </c>
      <c r="F14" s="35">
        <f t="shared" ref="F14:I14" si="3">-$B14*F13</f>
        <v>-4035</v>
      </c>
      <c r="G14" s="35">
        <f t="shared" si="3"/>
        <v>-4215</v>
      </c>
      <c r="H14" s="35">
        <f t="shared" si="3"/>
        <v>-4350</v>
      </c>
      <c r="I14" s="35">
        <f t="shared" si="3"/>
        <v>-4665</v>
      </c>
    </row>
    <row r="15" spans="1:25">
      <c r="A15" t="s">
        <v>80</v>
      </c>
      <c r="C15" s="9">
        <f>C13+C14</f>
        <v>7000</v>
      </c>
      <c r="D15" s="9">
        <f>D13+D14</f>
        <v>7630</v>
      </c>
      <c r="E15" s="9">
        <f t="shared" ref="E15:I15" si="4">E13+E14</f>
        <v>8470</v>
      </c>
      <c r="F15" s="9">
        <f t="shared" si="4"/>
        <v>9415</v>
      </c>
      <c r="G15" s="9">
        <f t="shared" si="4"/>
        <v>9835</v>
      </c>
      <c r="H15" s="9">
        <f t="shared" si="4"/>
        <v>10150</v>
      </c>
      <c r="I15" s="9">
        <f t="shared" si="4"/>
        <v>10885</v>
      </c>
    </row>
    <row r="16" spans="1:25">
      <c r="A16" t="s">
        <v>78</v>
      </c>
      <c r="D16" s="30">
        <f>-D12</f>
        <v>500</v>
      </c>
      <c r="E16" s="30">
        <f t="shared" ref="E16:I16" si="5">-E12</f>
        <v>500</v>
      </c>
      <c r="F16" s="30">
        <f t="shared" si="5"/>
        <v>500</v>
      </c>
      <c r="G16" s="30">
        <f t="shared" si="5"/>
        <v>500</v>
      </c>
      <c r="H16" s="30">
        <f t="shared" si="5"/>
        <v>500</v>
      </c>
      <c r="I16" s="30">
        <f t="shared" si="5"/>
        <v>500</v>
      </c>
    </row>
    <row r="17" spans="1:10">
      <c r="A17" t="s">
        <v>82</v>
      </c>
      <c r="D17" s="24">
        <v>-550</v>
      </c>
      <c r="E17" s="24">
        <v>-550</v>
      </c>
      <c r="F17" s="24">
        <v>-550</v>
      </c>
      <c r="G17" s="24">
        <v>-550</v>
      </c>
      <c r="H17" s="24">
        <v>-550</v>
      </c>
      <c r="I17" s="24">
        <v>-550</v>
      </c>
    </row>
    <row r="18" spans="1:10">
      <c r="A18" t="s">
        <v>83</v>
      </c>
      <c r="D18" s="30">
        <f>+C32-D32</f>
        <v>-205.44000000000005</v>
      </c>
      <c r="E18" s="30">
        <f t="shared" ref="E18:I18" si="6">+D32-E32</f>
        <v>-308.16000000000031</v>
      </c>
      <c r="F18" s="30">
        <f t="shared" si="6"/>
        <v>-308.16000000000031</v>
      </c>
      <c r="G18" s="30">
        <f t="shared" si="6"/>
        <v>-154.07999999999993</v>
      </c>
      <c r="H18" s="30">
        <f t="shared" si="6"/>
        <v>-154.07999999999993</v>
      </c>
      <c r="I18" s="30">
        <f t="shared" si="6"/>
        <v>-154.08000000000038</v>
      </c>
    </row>
    <row r="19" spans="1:10">
      <c r="A19" s="1" t="s">
        <v>84</v>
      </c>
      <c r="B19" s="1"/>
      <c r="C19" s="1"/>
      <c r="D19" s="116">
        <f>SUM(D15:D18)</f>
        <v>7374.5599999999995</v>
      </c>
      <c r="E19" s="116">
        <f t="shared" ref="E19:I19" si="7">SUM(E15:E18)</f>
        <v>8111.84</v>
      </c>
      <c r="F19" s="116">
        <f t="shared" si="7"/>
        <v>9056.84</v>
      </c>
      <c r="G19" s="116">
        <f t="shared" si="7"/>
        <v>9630.92</v>
      </c>
      <c r="H19" s="116">
        <f t="shared" si="7"/>
        <v>9945.92</v>
      </c>
      <c r="I19" s="116">
        <f t="shared" si="7"/>
        <v>10680.92</v>
      </c>
      <c r="J19" s="116">
        <f>I19*(1+B4)/(B24-B4)</f>
        <v>158875.69644017619</v>
      </c>
    </row>
    <row r="20" spans="1:10">
      <c r="A20" t="s">
        <v>314</v>
      </c>
      <c r="B20" s="1"/>
      <c r="C20" s="1"/>
      <c r="D20" s="120">
        <f>B3</f>
        <v>0.5</v>
      </c>
      <c r="E20" s="35">
        <v>1</v>
      </c>
      <c r="F20" s="35">
        <v>1</v>
      </c>
      <c r="G20" s="35">
        <v>1</v>
      </c>
      <c r="H20" s="35">
        <v>1</v>
      </c>
      <c r="I20" s="35">
        <v>1</v>
      </c>
      <c r="J20" s="35">
        <v>1</v>
      </c>
    </row>
    <row r="21" spans="1:10">
      <c r="A21" s="1" t="s">
        <v>315</v>
      </c>
      <c r="B21" s="1"/>
      <c r="C21" s="1"/>
      <c r="D21" s="38">
        <f>D19*D20</f>
        <v>3687.2799999999997</v>
      </c>
      <c r="E21" s="38">
        <f t="shared" ref="E21:J21" si="8">E19*E20</f>
        <v>8111.84</v>
      </c>
      <c r="F21" s="38">
        <f t="shared" si="8"/>
        <v>9056.84</v>
      </c>
      <c r="G21" s="38">
        <f t="shared" si="8"/>
        <v>9630.92</v>
      </c>
      <c r="H21" s="38">
        <f t="shared" si="8"/>
        <v>9945.92</v>
      </c>
      <c r="I21" s="38">
        <f t="shared" si="8"/>
        <v>10680.92</v>
      </c>
      <c r="J21" s="38">
        <f t="shared" si="8"/>
        <v>158875.69644017619</v>
      </c>
    </row>
    <row r="23" spans="1:10">
      <c r="A23" t="s">
        <v>94</v>
      </c>
      <c r="D23">
        <f>B3/2</f>
        <v>0.25</v>
      </c>
      <c r="E23" s="36">
        <f>B3+0.5</f>
        <v>1</v>
      </c>
      <c r="F23" s="36">
        <f>E23+1</f>
        <v>2</v>
      </c>
      <c r="G23" s="36">
        <f t="shared" ref="G23:I23" si="9">F23+1</f>
        <v>3</v>
      </c>
      <c r="H23" s="36">
        <f t="shared" si="9"/>
        <v>4</v>
      </c>
      <c r="I23" s="36">
        <f t="shared" si="9"/>
        <v>5</v>
      </c>
    </row>
    <row r="24" spans="1:10">
      <c r="A24" t="s">
        <v>93</v>
      </c>
      <c r="B24" s="15">
        <v>9.9245E-2</v>
      </c>
      <c r="D24" s="37">
        <f>1/(1+$B24)^D23</f>
        <v>0.97662171223368255</v>
      </c>
      <c r="E24" s="37">
        <f t="shared" ref="E24:I24" si="10">1/(1+$B24)^E23</f>
        <v>0.90971530459542682</v>
      </c>
      <c r="F24" s="37">
        <f t="shared" si="10"/>
        <v>0.82758193541515013</v>
      </c>
      <c r="G24" s="37">
        <f t="shared" si="10"/>
        <v>0.75286395245386617</v>
      </c>
      <c r="H24" s="37">
        <f t="shared" si="10"/>
        <v>0.68489185982548584</v>
      </c>
      <c r="I24" s="37">
        <f t="shared" si="10"/>
        <v>0.62305660687607023</v>
      </c>
      <c r="J24" s="37">
        <f>I24</f>
        <v>0.62305660687607023</v>
      </c>
    </row>
    <row r="25" spans="1:10">
      <c r="A25" t="s">
        <v>3</v>
      </c>
      <c r="D25" s="39">
        <f>D21*D24</f>
        <v>3601.0777070850127</v>
      </c>
      <c r="E25" s="39">
        <f t="shared" ref="E25:J25" si="11">E19*E24</f>
        <v>7379.4649964293676</v>
      </c>
      <c r="F25" s="39">
        <f t="shared" si="11"/>
        <v>7495.2771759453481</v>
      </c>
      <c r="G25" s="39">
        <f t="shared" si="11"/>
        <v>7250.7724969669889</v>
      </c>
      <c r="H25" s="39">
        <f t="shared" si="11"/>
        <v>6811.879646475496</v>
      </c>
      <c r="I25" s="39">
        <f t="shared" si="11"/>
        <v>6654.8177735147565</v>
      </c>
      <c r="J25" s="39">
        <f t="shared" si="11"/>
        <v>98988.552339088725</v>
      </c>
    </row>
    <row r="26" spans="1:10" ht="15" thickBot="1">
      <c r="A26" s="1" t="s">
        <v>95</v>
      </c>
      <c r="D26" s="40">
        <f>SUM(D25:J25)</f>
        <v>138181.84213550569</v>
      </c>
      <c r="E26" s="9"/>
      <c r="F26" s="9"/>
      <c r="G26" s="9"/>
      <c r="H26" s="9"/>
      <c r="I26" s="9"/>
      <c r="J26" s="9"/>
    </row>
    <row r="27" spans="1:10">
      <c r="A27" s="28" t="s">
        <v>344</v>
      </c>
      <c r="B27" s="28"/>
      <c r="C27" s="28"/>
      <c r="D27" s="122">
        <f>D26/D13</f>
        <v>12.67723322344089</v>
      </c>
      <c r="E27" s="9"/>
      <c r="F27" s="9"/>
      <c r="G27" s="9"/>
      <c r="H27" s="9"/>
      <c r="I27" s="9"/>
      <c r="J27" s="9"/>
    </row>
    <row r="28" spans="1:10">
      <c r="A28" s="28" t="s">
        <v>343</v>
      </c>
      <c r="D28" s="31">
        <f t="shared" ref="D28:I28" si="12">+D7/C7-1</f>
        <v>8.0000000000000071E-2</v>
      </c>
      <c r="E28" s="31">
        <f t="shared" si="12"/>
        <v>0.11111111111111116</v>
      </c>
      <c r="F28" s="31">
        <f t="shared" si="12"/>
        <v>0.10000000000000009</v>
      </c>
      <c r="G28" s="31">
        <f t="shared" si="12"/>
        <v>4.5454545454545414E-2</v>
      </c>
      <c r="H28" s="31">
        <f t="shared" si="12"/>
        <v>4.3478260869565188E-2</v>
      </c>
      <c r="I28" s="31">
        <f t="shared" si="12"/>
        <v>4.1666666666666741E-2</v>
      </c>
      <c r="J28" s="9"/>
    </row>
    <row r="29" spans="1:10">
      <c r="A29" s="28" t="s">
        <v>96</v>
      </c>
      <c r="B29" s="28"/>
      <c r="C29" s="31">
        <f>C9/C7</f>
        <v>0.56000000000000005</v>
      </c>
      <c r="D29" s="31">
        <f>D9/D7</f>
        <v>0.55555555555555558</v>
      </c>
      <c r="E29" s="31">
        <f t="shared" ref="E29:I29" si="13">E9/E7</f>
        <v>0.55000000000000004</v>
      </c>
      <c r="F29" s="31">
        <f t="shared" si="13"/>
        <v>0.54545454545454541</v>
      </c>
      <c r="G29" s="31">
        <f t="shared" si="13"/>
        <v>0.54347826086956519</v>
      </c>
      <c r="H29" s="31">
        <f t="shared" si="13"/>
        <v>0.54166666666666663</v>
      </c>
      <c r="I29" s="31">
        <f t="shared" si="13"/>
        <v>0.55200000000000005</v>
      </c>
      <c r="J29" s="9"/>
    </row>
    <row r="30" spans="1:10">
      <c r="A30" s="28" t="s">
        <v>97</v>
      </c>
      <c r="C30" s="31">
        <f>C11/C7</f>
        <v>0.42</v>
      </c>
      <c r="D30" s="31">
        <f>D11/D7</f>
        <v>0.42222222222222222</v>
      </c>
      <c r="E30" s="31">
        <f t="shared" ref="E30:I30" si="14">E11/E7</f>
        <v>0.42</v>
      </c>
      <c r="F30" s="31">
        <f t="shared" si="14"/>
        <v>0.42272727272727273</v>
      </c>
      <c r="G30" s="31">
        <f t="shared" si="14"/>
        <v>0.42173913043478262</v>
      </c>
      <c r="H30" s="31">
        <f t="shared" si="14"/>
        <v>0.41666666666666669</v>
      </c>
      <c r="I30" s="31">
        <f t="shared" si="14"/>
        <v>0.42799999999999999</v>
      </c>
      <c r="J30" s="9"/>
    </row>
    <row r="31" spans="1:10">
      <c r="A31" s="28" t="s">
        <v>98</v>
      </c>
      <c r="C31" s="31">
        <f>C13/C7</f>
        <v>0.4</v>
      </c>
      <c r="D31" s="31">
        <f>D13/D7</f>
        <v>0.40370370370370373</v>
      </c>
      <c r="E31" s="31">
        <f t="shared" ref="E31:I31" si="15">E13/E7</f>
        <v>0.40333333333333332</v>
      </c>
      <c r="F31" s="31">
        <f t="shared" si="15"/>
        <v>0.40757575757575759</v>
      </c>
      <c r="G31" s="31">
        <f t="shared" si="15"/>
        <v>0.4072463768115942</v>
      </c>
      <c r="H31" s="31">
        <f t="shared" si="15"/>
        <v>0.40277777777777779</v>
      </c>
      <c r="I31" s="31">
        <f t="shared" si="15"/>
        <v>0.41466666666666668</v>
      </c>
      <c r="J31" s="9"/>
    </row>
    <row r="32" spans="1:10">
      <c r="A32" s="28" t="s">
        <v>342</v>
      </c>
      <c r="C32" s="9">
        <f>+'Net tangible assets'!B5</f>
        <v>2568</v>
      </c>
      <c r="D32" s="9">
        <f>+C32*(1+D28)</f>
        <v>2773.44</v>
      </c>
      <c r="E32" s="9">
        <f t="shared" ref="E32:I32" si="16">+D32*(1+E28)</f>
        <v>3081.6000000000004</v>
      </c>
      <c r="F32" s="9">
        <f t="shared" si="16"/>
        <v>3389.7600000000007</v>
      </c>
      <c r="G32" s="9">
        <f t="shared" si="16"/>
        <v>3543.8400000000006</v>
      </c>
      <c r="H32" s="9">
        <f t="shared" si="16"/>
        <v>3697.9200000000005</v>
      </c>
      <c r="I32" s="9">
        <f t="shared" si="16"/>
        <v>3852.0000000000009</v>
      </c>
      <c r="J32" s="9"/>
    </row>
    <row r="33" spans="4:4">
      <c r="D33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&amp;L&amp;"-,Bold"&amp;K002F6CPurchase Price Allocation Template&amp;R&amp;G</oddHeader>
    <oddFooter>&amp;C&amp;9&amp;A&amp;R&amp;9Page &amp;P of &amp;N</oddFooter>
  </headerFooter>
  <ignoredErrors>
    <ignoredError sqref="D14:I14" 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F553-6F30-4939-9D0B-B7F01CBE85EE}">
  <dimension ref="A1:P19"/>
  <sheetViews>
    <sheetView showGridLines="0" zoomScaleNormal="100" workbookViewId="0">
      <selection activeCell="L15" sqref="L15"/>
    </sheetView>
  </sheetViews>
  <sheetFormatPr defaultRowHeight="14.5"/>
  <cols>
    <col min="1" max="1" width="32.81640625" bestFit="1" customWidth="1"/>
    <col min="2" max="3" width="9.1796875" customWidth="1"/>
    <col min="4" max="4" width="2.81640625" customWidth="1"/>
  </cols>
  <sheetData>
    <row r="1" spans="1:16" ht="21">
      <c r="A1" s="17" t="s">
        <v>18</v>
      </c>
    </row>
    <row r="2" spans="1:16" ht="21.5" thickBot="1">
      <c r="A2" s="17"/>
    </row>
    <row r="3" spans="1:16">
      <c r="B3" s="6" t="s">
        <v>39</v>
      </c>
      <c r="C3" s="6" t="s">
        <v>43</v>
      </c>
      <c r="E3" s="48" t="s">
        <v>57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>
      <c r="A4" t="s">
        <v>0</v>
      </c>
      <c r="B4" s="41">
        <v>3.5000000000000003E-2</v>
      </c>
      <c r="C4" s="41">
        <v>3.5000000000000003E-2</v>
      </c>
      <c r="E4" s="51" t="s">
        <v>120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</row>
    <row r="5" spans="1:16">
      <c r="A5" t="s">
        <v>99</v>
      </c>
      <c r="B5" s="41">
        <v>6.5000000000000002E-2</v>
      </c>
      <c r="C5" s="41">
        <v>6.5000000000000002E-2</v>
      </c>
      <c r="E5" s="51" t="s">
        <v>121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3"/>
    </row>
    <row r="6" spans="1:16">
      <c r="A6" t="s">
        <v>100</v>
      </c>
      <c r="B6" s="4">
        <v>0.8</v>
      </c>
      <c r="C6" s="4">
        <v>1</v>
      </c>
      <c r="E6" s="51" t="s">
        <v>122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3"/>
    </row>
    <row r="7" spans="1:16" ht="15" thickBot="1">
      <c r="A7" t="s">
        <v>101</v>
      </c>
      <c r="B7" s="41">
        <v>0.02</v>
      </c>
      <c r="C7" s="41">
        <v>0.03</v>
      </c>
      <c r="E7" s="54"/>
      <c r="F7" s="55"/>
      <c r="G7" s="55"/>
      <c r="H7" s="55"/>
      <c r="I7" s="55"/>
      <c r="J7" s="55"/>
      <c r="K7" s="55"/>
      <c r="L7" s="55"/>
      <c r="M7" s="55"/>
      <c r="N7" s="55"/>
      <c r="O7" s="55"/>
      <c r="P7" s="56"/>
    </row>
    <row r="8" spans="1:16">
      <c r="A8" t="s">
        <v>102</v>
      </c>
      <c r="B8" s="41">
        <v>0</v>
      </c>
      <c r="C8" s="41">
        <v>0</v>
      </c>
    </row>
    <row r="9" spans="1:16">
      <c r="A9" s="1" t="s">
        <v>103</v>
      </c>
      <c r="B9" s="42">
        <f>B4+(B5*B6)+B7+B8</f>
        <v>0.10700000000000001</v>
      </c>
      <c r="C9" s="42">
        <f>C4+(C5*C6)+C7+C8</f>
        <v>0.13</v>
      </c>
    </row>
    <row r="11" spans="1:16">
      <c r="A11" t="s">
        <v>104</v>
      </c>
      <c r="B11" s="41">
        <v>0.04</v>
      </c>
      <c r="C11" s="41">
        <v>4.4999999999999998E-2</v>
      </c>
    </row>
    <row r="12" spans="1:16">
      <c r="A12" t="s">
        <v>105</v>
      </c>
      <c r="B12" s="14">
        <f>B11+B4</f>
        <v>7.5000000000000011E-2</v>
      </c>
      <c r="C12" s="14">
        <f>C11+C4</f>
        <v>0.08</v>
      </c>
    </row>
    <row r="13" spans="1:16">
      <c r="A13" t="s">
        <v>106</v>
      </c>
      <c r="B13" s="19">
        <v>0.25</v>
      </c>
      <c r="C13" s="19">
        <v>0.2</v>
      </c>
    </row>
    <row r="14" spans="1:16">
      <c r="A14" t="s">
        <v>107</v>
      </c>
      <c r="B14" s="20">
        <f>'Cash flows'!B14</f>
        <v>0.3</v>
      </c>
      <c r="C14" s="20">
        <f>B14</f>
        <v>0.3</v>
      </c>
    </row>
    <row r="15" spans="1:16">
      <c r="A15" s="1" t="s">
        <v>108</v>
      </c>
      <c r="B15" s="43">
        <f>B9*(1-B13)+(B12*B13*(1-B14))</f>
        <v>9.3375000000000014E-2</v>
      </c>
      <c r="C15" s="43">
        <f>C9*(1-C13)+(C12*C13*(1-C14))</f>
        <v>0.11520000000000001</v>
      </c>
    </row>
    <row r="17" spans="1:3">
      <c r="B17" t="s">
        <v>125</v>
      </c>
      <c r="C17" t="s">
        <v>126</v>
      </c>
    </row>
    <row r="18" spans="1:3">
      <c r="A18" t="s">
        <v>123</v>
      </c>
      <c r="B18" s="14">
        <f>B15</f>
        <v>9.3375000000000014E-2</v>
      </c>
      <c r="C18" s="14">
        <f>C15-B15</f>
        <v>2.1824999999999997E-2</v>
      </c>
    </row>
    <row r="19" spans="1:3">
      <c r="A19" t="s">
        <v>124</v>
      </c>
      <c r="B19" s="14">
        <f>'Cash flows'!B24-0.1%</f>
        <v>9.8244999999999999E-2</v>
      </c>
      <c r="C19" s="13">
        <v>2E-3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&amp;R&amp;G</oddHeader>
    <oddFooter>&amp;C&amp;9&amp;A&amp;R&amp;9Page &amp;P of &amp;N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42D10-200F-498F-BC52-E25EDD10451D}">
  <dimension ref="A1:D32"/>
  <sheetViews>
    <sheetView showGridLines="0" zoomScaleNormal="100" workbookViewId="0">
      <selection activeCell="L12" sqref="K12:L12"/>
    </sheetView>
  </sheetViews>
  <sheetFormatPr defaultRowHeight="14.5"/>
  <cols>
    <col min="1" max="3" width="28.54296875" customWidth="1"/>
    <col min="4" max="4" width="35.7265625" customWidth="1"/>
  </cols>
  <sheetData>
    <row r="1" spans="1:3" ht="21">
      <c r="A1" s="44" t="s">
        <v>130</v>
      </c>
      <c r="B1" s="44"/>
      <c r="C1" s="44"/>
    </row>
    <row r="3" spans="1:3" ht="17">
      <c r="A3" s="7" t="s">
        <v>110</v>
      </c>
    </row>
    <row r="4" spans="1:3">
      <c r="A4" t="s">
        <v>127</v>
      </c>
    </row>
    <row r="5" spans="1:3">
      <c r="A5" t="s">
        <v>128</v>
      </c>
    </row>
    <row r="6" spans="1:3">
      <c r="A6" t="s">
        <v>129</v>
      </c>
    </row>
    <row r="7" spans="1:3">
      <c r="A7" t="s">
        <v>134</v>
      </c>
    </row>
    <row r="8" spans="1:3">
      <c r="A8" t="s">
        <v>135</v>
      </c>
    </row>
    <row r="9" spans="1:3">
      <c r="A9" t="s">
        <v>136</v>
      </c>
    </row>
    <row r="10" spans="1:3">
      <c r="A10" t="s">
        <v>133</v>
      </c>
    </row>
    <row r="11" spans="1:3">
      <c r="A11" t="s">
        <v>335</v>
      </c>
    </row>
    <row r="13" spans="1:3" ht="17">
      <c r="A13" s="7" t="s">
        <v>132</v>
      </c>
    </row>
    <row r="14" spans="1:3">
      <c r="A14" t="s">
        <v>336</v>
      </c>
    </row>
    <row r="15" spans="1:3">
      <c r="A15" t="s">
        <v>137</v>
      </c>
    </row>
    <row r="16" spans="1:3">
      <c r="A16" t="s">
        <v>337</v>
      </c>
    </row>
    <row r="18" spans="1:4" ht="17">
      <c r="A18" s="7" t="s">
        <v>131</v>
      </c>
    </row>
    <row r="19" spans="1:4">
      <c r="A19" s="47" t="s">
        <v>149</v>
      </c>
      <c r="B19" s="46" t="s">
        <v>152</v>
      </c>
      <c r="C19" s="46" t="s">
        <v>156</v>
      </c>
      <c r="D19" s="46" t="s">
        <v>160</v>
      </c>
    </row>
    <row r="20" spans="1:4">
      <c r="A20" s="46" t="s">
        <v>148</v>
      </c>
      <c r="B20" s="46" t="s">
        <v>153</v>
      </c>
      <c r="C20" s="46" t="s">
        <v>157</v>
      </c>
      <c r="D20" s="46" t="s">
        <v>161</v>
      </c>
    </row>
    <row r="21" spans="1:4">
      <c r="A21" s="46" t="s">
        <v>150</v>
      </c>
      <c r="B21" s="46" t="s">
        <v>155</v>
      </c>
      <c r="C21" s="46" t="s">
        <v>158</v>
      </c>
      <c r="D21" s="46" t="s">
        <v>162</v>
      </c>
    </row>
    <row r="22" spans="1:4">
      <c r="A22" s="46" t="s">
        <v>151</v>
      </c>
      <c r="B22" s="46" t="s">
        <v>154</v>
      </c>
      <c r="C22" s="46" t="s">
        <v>159</v>
      </c>
      <c r="D22" s="46" t="s">
        <v>163</v>
      </c>
    </row>
    <row r="24" spans="1:4" ht="17">
      <c r="A24" s="7" t="s">
        <v>138</v>
      </c>
    </row>
    <row r="25" spans="1:4">
      <c r="A25" s="1" t="s">
        <v>139</v>
      </c>
      <c r="B25" s="1" t="s">
        <v>140</v>
      </c>
    </row>
    <row r="26" spans="1:4">
      <c r="A26" s="2" t="s">
        <v>144</v>
      </c>
      <c r="B26" s="2" t="s">
        <v>141</v>
      </c>
    </row>
    <row r="27" spans="1:4">
      <c r="A27" s="2" t="s">
        <v>145</v>
      </c>
      <c r="B27" s="2" t="s">
        <v>141</v>
      </c>
    </row>
    <row r="28" spans="1:4">
      <c r="A28" s="2" t="s">
        <v>216</v>
      </c>
      <c r="B28" s="2" t="s">
        <v>141</v>
      </c>
    </row>
    <row r="29" spans="1:4">
      <c r="A29" s="2" t="s">
        <v>146</v>
      </c>
      <c r="B29" s="2" t="s">
        <v>141</v>
      </c>
    </row>
    <row r="30" spans="1:4">
      <c r="A30" s="2" t="s">
        <v>292</v>
      </c>
      <c r="B30" s="2" t="s">
        <v>164</v>
      </c>
    </row>
    <row r="31" spans="1:4">
      <c r="A31" s="2" t="s">
        <v>143</v>
      </c>
      <c r="B31" s="2" t="s">
        <v>142</v>
      </c>
    </row>
    <row r="32" spans="1:4">
      <c r="A32" s="2" t="s">
        <v>327</v>
      </c>
      <c r="B32" s="2" t="s">
        <v>164</v>
      </c>
    </row>
  </sheetData>
  <pageMargins left="0.7" right="0.7" top="0.75" bottom="0.75" header="0.3" footer="0.3"/>
  <pageSetup paperSize="9" orientation="landscape" r:id="rId1"/>
  <headerFooter>
    <oddHeader>&amp;L&amp;"-,Bold"&amp;K002F6CPurchase Price Allocation Template&amp;R&amp;G</oddHeader>
    <oddFooter>&amp;C&amp;9&amp;A&amp;R&amp;9Page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BDD938598CD4CB5600F99018ACF12" ma:contentTypeVersion="16" ma:contentTypeDescription="Create a new document." ma:contentTypeScope="" ma:versionID="dd319a32d90766b9fc3c6eb65b4dda26">
  <xsd:schema xmlns:xsd="http://www.w3.org/2001/XMLSchema" xmlns:xs="http://www.w3.org/2001/XMLSchema" xmlns:p="http://schemas.microsoft.com/office/2006/metadata/properties" xmlns:ns2="211124d6-85ec-403c-b5aa-af93141d0681" xmlns:ns3="524988c9-8cfb-4017-a109-a237a7299179" targetNamespace="http://schemas.microsoft.com/office/2006/metadata/properties" ma:root="true" ma:fieldsID="9f4da389aa53ba9cd3824d8f6e038c09" ns2:_="" ns3:_="">
    <xsd:import namespace="211124d6-85ec-403c-b5aa-af93141d0681"/>
    <xsd:import namespace="524988c9-8cfb-4017-a109-a237a72991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124d6-85ec-403c-b5aa-af93141d06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60c1e7e-329a-461d-a523-a1a39ed844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4988c9-8cfb-4017-a109-a237a729917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74b883-3558-4e0f-85ae-1d087e76c6bd}" ma:internalName="TaxCatchAll" ma:showField="CatchAllData" ma:web="524988c9-8cfb-4017-a109-a237a72991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5CEF5D-069F-45C2-8C0C-B922D2558737}"/>
</file>

<file path=customXml/itemProps2.xml><?xml version="1.0" encoding="utf-8"?>
<ds:datastoreItem xmlns:ds="http://schemas.openxmlformats.org/officeDocument/2006/customXml" ds:itemID="{675497C0-56A5-4F46-8966-EF675F7FAE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Introduction</vt:lpstr>
      <vt:lpstr>Contents</vt:lpstr>
      <vt:lpstr>Business combination</vt:lpstr>
      <vt:lpstr>Purchase price</vt:lpstr>
      <vt:lpstr>Net tangible assets</vt:lpstr>
      <vt:lpstr>Fair value of business</vt:lpstr>
      <vt:lpstr>Cash flows</vt:lpstr>
      <vt:lpstr>Discount rate</vt:lpstr>
      <vt:lpstr>Identify intangibles</vt:lpstr>
      <vt:lpstr>Brandname</vt:lpstr>
      <vt:lpstr>Software</vt:lpstr>
      <vt:lpstr>Non-compete</vt:lpstr>
      <vt:lpstr>Workforce</vt:lpstr>
      <vt:lpstr>Relationships</vt:lpstr>
      <vt:lpstr>Goodwill</vt:lpstr>
      <vt:lpstr>WACC WARA</vt:lpstr>
      <vt:lpstr>Brandname!Print_Area</vt:lpstr>
      <vt:lpstr>'Cash flows'!Print_Area</vt:lpstr>
      <vt:lpstr>'Discount rate'!Print_Area</vt:lpstr>
      <vt:lpstr>'Fair value of business'!Print_Area</vt:lpstr>
      <vt:lpstr>Goodwill!Print_Area</vt:lpstr>
      <vt:lpstr>'Net tangible assets'!Print_Area</vt:lpstr>
      <vt:lpstr>'Non-compete'!Print_Area</vt:lpstr>
      <vt:lpstr>'Purchase price'!Print_Area</vt:lpstr>
      <vt:lpstr>Relationships!Print_Area</vt:lpstr>
      <vt:lpstr>Software!Print_Area</vt:lpstr>
      <vt:lpstr>'WACC WARA'!Print_Area</vt:lpstr>
      <vt:lpstr>Workforce!Print_Area</vt:lpstr>
      <vt:lpstr>Relationships!Print_Titles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Norris</dc:creator>
  <cp:lastModifiedBy>Simon Dalgarno</cp:lastModifiedBy>
  <cp:lastPrinted>2023-02-16T03:30:17Z</cp:lastPrinted>
  <dcterms:created xsi:type="dcterms:W3CDTF">2017-04-23T22:22:13Z</dcterms:created>
  <dcterms:modified xsi:type="dcterms:W3CDTF">2023-04-11T00:39:16Z</dcterms:modified>
</cp:coreProperties>
</file>